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24226"/>
  <mc:AlternateContent xmlns:mc="http://schemas.openxmlformats.org/markup-compatibility/2006">
    <mc:Choice Requires="x15">
      <x15ac:absPath xmlns:x15ac="http://schemas.microsoft.com/office/spreadsheetml/2010/11/ac" url="C:\Users\SHOOD\OneDrive - Wilmar International Limited\Documents\Desktop\Simon\Grower Products and Issues\Cashflow\"/>
    </mc:Choice>
  </mc:AlternateContent>
  <xr:revisionPtr revIDLastSave="0" documentId="8_{3544FC6D-3F8C-4317-A8E4-419158CE7417}" xr6:coauthVersionLast="47" xr6:coauthVersionMax="47" xr10:uidLastSave="{00000000-0000-0000-0000-000000000000}"/>
  <workbookProtection workbookAlgorithmName="SHA-512" workbookHashValue="RRTfFIgYNxJsFu/5hWInUFF3DnthrsUFudmPgVvj0NA1tBCcWV/6Drh9tddmGM8iCpXPr2W0O/8YAFaXSqjSvA==" workbookSaltValue="kdr8ns9kiR0MvJIz0DdBmg==" workbookSpinCount="100000" lockStructure="1"/>
  <bookViews>
    <workbookView xWindow="-110" yWindow="-110" windowWidth="19420" windowHeight="11620" xr2:uid="{00000000-000D-0000-FFFF-FFFF00000000}"/>
  </bookViews>
  <sheets>
    <sheet name="Inputs" sheetId="2" r:id="rId1"/>
    <sheet name="Future Season Forecast" sheetId="4" r:id="rId2"/>
  </sheets>
  <definedNames>
    <definedName name="CIQWBGuid" hidden="1">"bab855a2-88ab-45a0-9e3b-865b020ffa6c"</definedName>
    <definedName name="IQ_ADDIN" hidden="1">"AUTO"</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"06/28/2015 22:27:45"</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Prepayment">'Future Season Forecast'!$C$26</definedName>
    <definedName name="_xlnm.Print_Area" localSheetId="1">'Future Season Forecast'!$B$2:$Q$69</definedName>
    <definedName name="Repayment_Rate">'Future Season Forecast'!$C$27</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4" l="1"/>
  <c r="E35" i="4" l="1"/>
  <c r="F35" i="4"/>
  <c r="G35" i="4"/>
  <c r="H35" i="4"/>
  <c r="I35" i="4"/>
  <c r="J35" i="4"/>
  <c r="K35" i="4"/>
  <c r="L35" i="4"/>
  <c r="M35" i="4"/>
  <c r="N35" i="4"/>
  <c r="O35" i="4"/>
  <c r="P35" i="4"/>
  <c r="Q35" i="4"/>
  <c r="D35" i="4"/>
  <c r="E65" i="4" l="1"/>
  <c r="F65" i="4"/>
  <c r="G65" i="4"/>
  <c r="H65" i="4"/>
  <c r="I65" i="4"/>
  <c r="J65" i="4"/>
  <c r="K65" i="4"/>
  <c r="L65" i="4"/>
  <c r="M65" i="4"/>
  <c r="N65" i="4"/>
  <c r="O65" i="4"/>
  <c r="P65" i="4"/>
  <c r="Q65" i="4"/>
  <c r="D65" i="4"/>
  <c r="E62" i="4"/>
  <c r="F62" i="4"/>
  <c r="G62" i="4"/>
  <c r="H62" i="4"/>
  <c r="I62" i="4"/>
  <c r="J62" i="4"/>
  <c r="K62" i="4"/>
  <c r="L62" i="4"/>
  <c r="M62" i="4"/>
  <c r="N62" i="4"/>
  <c r="O62" i="4"/>
  <c r="P62" i="4"/>
  <c r="Q62" i="4"/>
  <c r="D62" i="4"/>
  <c r="B62" i="4"/>
  <c r="C62" i="4" l="1"/>
  <c r="E61" i="4"/>
  <c r="F61" i="4"/>
  <c r="G61" i="4"/>
  <c r="H61" i="4"/>
  <c r="I61" i="4"/>
  <c r="J61" i="4"/>
  <c r="K61" i="4"/>
  <c r="L61" i="4"/>
  <c r="M61" i="4"/>
  <c r="N61" i="4"/>
  <c r="O61" i="4"/>
  <c r="P61" i="4"/>
  <c r="Q61" i="4"/>
  <c r="D61" i="4"/>
  <c r="E60" i="4"/>
  <c r="F60" i="4"/>
  <c r="G60" i="4"/>
  <c r="H60" i="4"/>
  <c r="I60" i="4"/>
  <c r="J60" i="4"/>
  <c r="K60" i="4"/>
  <c r="L60" i="4"/>
  <c r="M60" i="4"/>
  <c r="N60" i="4"/>
  <c r="O60" i="4"/>
  <c r="P60" i="4"/>
  <c r="Q60" i="4"/>
  <c r="D60" i="4"/>
  <c r="E59" i="4"/>
  <c r="F59" i="4"/>
  <c r="G59" i="4"/>
  <c r="H59" i="4"/>
  <c r="I59" i="4"/>
  <c r="J59" i="4"/>
  <c r="K59" i="4"/>
  <c r="L59" i="4"/>
  <c r="M59" i="4"/>
  <c r="N59" i="4"/>
  <c r="O59" i="4"/>
  <c r="P59" i="4"/>
  <c r="Q59" i="4"/>
  <c r="D59" i="4"/>
  <c r="E58" i="4"/>
  <c r="F58" i="4"/>
  <c r="G58" i="4"/>
  <c r="H58" i="4"/>
  <c r="I58" i="4"/>
  <c r="J58" i="4"/>
  <c r="K58" i="4"/>
  <c r="L58" i="4"/>
  <c r="M58" i="4"/>
  <c r="N58" i="4"/>
  <c r="O58" i="4"/>
  <c r="P58" i="4"/>
  <c r="Q58" i="4"/>
  <c r="D58" i="4"/>
  <c r="Q63" i="4" l="1"/>
  <c r="M63" i="4"/>
  <c r="I63" i="4"/>
  <c r="E63" i="4"/>
  <c r="C58" i="4"/>
  <c r="N63" i="4"/>
  <c r="J63" i="4"/>
  <c r="F63" i="4"/>
  <c r="P63" i="4"/>
  <c r="L63" i="4"/>
  <c r="H63" i="4"/>
  <c r="C61" i="4"/>
  <c r="O63" i="4"/>
  <c r="K63" i="4"/>
  <c r="G63" i="4"/>
  <c r="C60" i="4"/>
  <c r="D63" i="4"/>
  <c r="C59" i="4"/>
  <c r="C33" i="4"/>
  <c r="J34" i="4"/>
  <c r="J36" i="4" s="1"/>
  <c r="I34" i="4"/>
  <c r="I36" i="4" s="1"/>
  <c r="H34" i="4"/>
  <c r="H36" i="4" s="1"/>
  <c r="G34" i="4"/>
  <c r="G36" i="4" s="1"/>
  <c r="F34" i="4"/>
  <c r="F36" i="4" s="1"/>
  <c r="E34" i="4"/>
  <c r="E36" i="4" s="1"/>
  <c r="D34" i="4"/>
  <c r="D36" i="4" s="1"/>
  <c r="C63" i="4" l="1"/>
  <c r="H14" i="4"/>
  <c r="H13" i="4"/>
  <c r="H8" i="4"/>
  <c r="Q34" i="4" l="1"/>
  <c r="Q36" i="4" s="1"/>
  <c r="P34" i="4"/>
  <c r="P36" i="4" s="1"/>
  <c r="O34" i="4"/>
  <c r="O36" i="4" s="1"/>
  <c r="N34" i="4"/>
  <c r="N36" i="4" s="1"/>
  <c r="M34" i="4"/>
  <c r="M36" i="4" s="1"/>
  <c r="L34" i="4"/>
  <c r="L36" i="4" s="1"/>
  <c r="K34" i="4"/>
  <c r="K36" i="4" s="1"/>
  <c r="B8" i="2" l="1"/>
  <c r="E8" i="4" l="1"/>
  <c r="E14" i="4" s="1"/>
  <c r="E16" i="4" s="1"/>
  <c r="G11" i="4"/>
  <c r="C9" i="4"/>
  <c r="C10" i="4"/>
  <c r="C11" i="4"/>
  <c r="C12" i="4"/>
  <c r="C13" i="4"/>
  <c r="C14" i="4"/>
  <c r="C8" i="4"/>
  <c r="C25" i="4"/>
  <c r="F13" i="4"/>
  <c r="F12" i="4"/>
  <c r="F11" i="4"/>
  <c r="F10" i="4"/>
  <c r="F9" i="4"/>
  <c r="E15" i="4" l="1"/>
  <c r="F8" i="4"/>
  <c r="F14" i="4"/>
  <c r="C29" i="4"/>
  <c r="C54" i="4" s="1"/>
  <c r="J11" i="4"/>
  <c r="L11" i="4" s="1"/>
  <c r="C19" i="4"/>
  <c r="P43" i="4" s="1"/>
  <c r="P46" i="4" s="1"/>
  <c r="J9" i="4"/>
  <c r="L9" i="4" s="1"/>
  <c r="J10" i="4"/>
  <c r="L10" i="4" s="1"/>
  <c r="J12" i="4"/>
  <c r="L12" i="4" s="1"/>
  <c r="J8" i="4"/>
  <c r="C18" i="4"/>
  <c r="F15" i="4" l="1"/>
  <c r="C66" i="4"/>
  <c r="C68" i="4" s="1"/>
  <c r="L8" i="4"/>
  <c r="J43" i="4"/>
  <c r="J46" i="4" s="1"/>
  <c r="M43" i="4"/>
  <c r="M46" i="4" s="1"/>
  <c r="L43" i="4"/>
  <c r="L46" i="4" s="1"/>
  <c r="G43" i="4"/>
  <c r="G46" i="4" s="1"/>
  <c r="O43" i="4"/>
  <c r="O46" i="4" s="1"/>
  <c r="F43" i="4"/>
  <c r="F46" i="4" s="1"/>
  <c r="H43" i="4"/>
  <c r="H46" i="4" s="1"/>
  <c r="Q43" i="4"/>
  <c r="Q46" i="4" s="1"/>
  <c r="N43" i="4"/>
  <c r="N46" i="4" s="1"/>
  <c r="K43" i="4"/>
  <c r="K46" i="4" s="1"/>
  <c r="D43" i="4"/>
  <c r="D46" i="4" s="1"/>
  <c r="I43" i="4"/>
  <c r="I46" i="4" s="1"/>
  <c r="C20" i="4"/>
  <c r="E43" i="4"/>
  <c r="E46" i="4" s="1"/>
  <c r="Q42" i="4" l="1"/>
  <c r="P42" i="4"/>
  <c r="D42" i="4"/>
  <c r="F42" i="4"/>
  <c r="M42" i="4"/>
  <c r="H42" i="4"/>
  <c r="O42" i="4"/>
  <c r="G42" i="4"/>
  <c r="E42" i="4"/>
  <c r="K42" i="4"/>
  <c r="L42" i="4"/>
  <c r="I42" i="4"/>
  <c r="J42" i="4"/>
  <c r="N42" i="4"/>
  <c r="G12" i="4" l="1"/>
  <c r="G10" i="4"/>
  <c r="G13" i="4"/>
  <c r="G9" i="4"/>
  <c r="G8" i="4"/>
  <c r="J14" i="4"/>
  <c r="J13" i="4"/>
  <c r="L13" i="4" l="1"/>
  <c r="J16" i="4"/>
  <c r="L14" i="4"/>
  <c r="J15" i="4"/>
  <c r="G14" i="4"/>
  <c r="L16" i="4" l="1"/>
  <c r="L15" i="4"/>
  <c r="D19" i="4"/>
  <c r="D18" i="4"/>
  <c r="D20" i="4" l="1"/>
  <c r="N45" i="4" s="1"/>
  <c r="N48" i="4" s="1"/>
  <c r="N51" i="4" s="1"/>
  <c r="G45" i="4" l="1"/>
  <c r="G48" i="4" s="1"/>
  <c r="G51" i="4" s="1"/>
  <c r="Q45" i="4"/>
  <c r="Q48" i="4" s="1"/>
  <c r="Q51" i="4" s="1"/>
  <c r="D45" i="4"/>
  <c r="D48" i="4" s="1"/>
  <c r="D51" i="4" s="1"/>
  <c r="O45" i="4"/>
  <c r="O48" i="4" s="1"/>
  <c r="O51" i="4" s="1"/>
  <c r="M45" i="4"/>
  <c r="M48" i="4" s="1"/>
  <c r="M51" i="4" s="1"/>
  <c r="I45" i="4"/>
  <c r="I48" i="4" s="1"/>
  <c r="I51" i="4" s="1"/>
  <c r="L45" i="4"/>
  <c r="L48" i="4" s="1"/>
  <c r="L51" i="4" s="1"/>
  <c r="J45" i="4"/>
  <c r="J48" i="4" s="1"/>
  <c r="J51" i="4" s="1"/>
  <c r="P45" i="4"/>
  <c r="P48" i="4" s="1"/>
  <c r="P51" i="4" s="1"/>
  <c r="K45" i="4"/>
  <c r="K48" i="4" s="1"/>
  <c r="K51" i="4" s="1"/>
  <c r="H45" i="4"/>
  <c r="H48" i="4" s="1"/>
  <c r="H51" i="4" s="1"/>
  <c r="F45" i="4"/>
  <c r="F48" i="4" s="1"/>
  <c r="F51" i="4" s="1"/>
  <c r="E45" i="4"/>
  <c r="E48" i="4" s="1"/>
  <c r="E51" i="4" s="1"/>
  <c r="D52" i="4" l="1"/>
  <c r="D55" i="4" l="1"/>
  <c r="D66" i="4" s="1"/>
  <c r="E52" i="4"/>
  <c r="E55" i="4" l="1"/>
  <c r="E66" i="4" s="1"/>
  <c r="D68" i="4"/>
  <c r="F52" i="4"/>
  <c r="G52" i="4" l="1"/>
  <c r="F55" i="4"/>
  <c r="F66" i="4" s="1"/>
  <c r="D67" i="4"/>
  <c r="D69" i="4" s="1"/>
  <c r="E67" i="4"/>
  <c r="H52" i="4" l="1"/>
  <c r="I52" i="4" s="1"/>
  <c r="E69" i="4"/>
  <c r="E68" i="4"/>
  <c r="J52" i="4" l="1"/>
  <c r="K52" i="4" l="1"/>
  <c r="L52" i="4" l="1"/>
  <c r="M52" i="4" s="1"/>
  <c r="N52" i="4" s="1"/>
  <c r="O52" i="4" l="1"/>
  <c r="P52" i="4" l="1"/>
  <c r="Q52" i="4" l="1"/>
  <c r="G55" i="4" l="1"/>
  <c r="G66" i="4" s="1"/>
  <c r="G67" i="4" l="1"/>
  <c r="H55" i="4"/>
  <c r="H66" i="4" s="1"/>
  <c r="F67" i="4"/>
  <c r="F69" i="4" s="1"/>
  <c r="F68" i="4"/>
  <c r="G68" i="4" s="1"/>
  <c r="G69" i="4" l="1"/>
  <c r="H67" i="4"/>
  <c r="I55" i="4"/>
  <c r="I66" i="4" s="1"/>
  <c r="I67" i="4" s="1"/>
  <c r="H69" i="4" l="1"/>
  <c r="I69" i="4" s="1"/>
  <c r="H68" i="4"/>
  <c r="I68" i="4" s="1"/>
  <c r="J55" i="4"/>
  <c r="K55" i="4" s="1"/>
  <c r="K66" i="4" s="1"/>
  <c r="K67" i="4" l="1"/>
  <c r="J66" i="4"/>
  <c r="J67" i="4" s="1"/>
  <c r="J69" i="4" s="1"/>
  <c r="L55" i="4"/>
  <c r="L66" i="4" s="1"/>
  <c r="L67" i="4" s="1"/>
  <c r="K69" i="4" l="1"/>
  <c r="L69" i="4" s="1"/>
  <c r="M55" i="4"/>
  <c r="M66" i="4" s="1"/>
  <c r="M67" i="4" s="1"/>
  <c r="J68" i="4"/>
  <c r="K68" i="4" s="1"/>
  <c r="L68" i="4" s="1"/>
  <c r="M69" i="4" l="1"/>
  <c r="N55" i="4"/>
  <c r="O55" i="4" s="1"/>
  <c r="O66" i="4" s="1"/>
  <c r="O67" i="4" s="1"/>
  <c r="M68" i="4"/>
  <c r="N66" i="4" l="1"/>
  <c r="N67" i="4" s="1"/>
  <c r="N69" i="4" s="1"/>
  <c r="O69" i="4" s="1"/>
  <c r="P55" i="4"/>
  <c r="P66" i="4" s="1"/>
  <c r="P67" i="4" s="1"/>
  <c r="P69" i="4" l="1"/>
  <c r="N68" i="4"/>
  <c r="O68" i="4" s="1"/>
  <c r="P68" i="4" s="1"/>
  <c r="Q55" i="4"/>
  <c r="Q66" i="4" s="1"/>
  <c r="Q67" i="4" s="1"/>
  <c r="Q69" i="4" l="1"/>
  <c r="Q68" i="4"/>
</calcChain>
</file>

<file path=xl/sharedStrings.xml><?xml version="1.0" encoding="utf-8"?>
<sst xmlns="http://schemas.openxmlformats.org/spreadsheetml/2006/main" count="121" uniqueCount="91">
  <si>
    <t>Yes</t>
  </si>
  <si>
    <t>Pricing Method</t>
  </si>
  <si>
    <t>% of Production</t>
  </si>
  <si>
    <t>COD Price Fixed</t>
  </si>
  <si>
    <t>No</t>
  </si>
  <si>
    <t>Target Price</t>
  </si>
  <si>
    <t>US Quota</t>
  </si>
  <si>
    <t>Wilmar Managed Pool</t>
  </si>
  <si>
    <t>Cane production Forecast</t>
  </si>
  <si>
    <t>Production Risk Pool</t>
  </si>
  <si>
    <t>Current/ FCast CCS</t>
  </si>
  <si>
    <t>Total/ Average</t>
  </si>
  <si>
    <t>GEI Sugar Tonnes (act)</t>
  </si>
  <si>
    <t>Delivery Profile</t>
  </si>
  <si>
    <t>Week beginning</t>
  </si>
  <si>
    <t>Cane Tonnage STD</t>
  </si>
  <si>
    <t>CCS STD</t>
  </si>
  <si>
    <t>Sugar Tonnage STD</t>
  </si>
  <si>
    <t>Advances</t>
  </si>
  <si>
    <t>COD % advance</t>
  </si>
  <si>
    <t>Default % advance</t>
  </si>
  <si>
    <t>STD Advance COD Sugar Price</t>
  </si>
  <si>
    <t>STD COD Tonnage</t>
  </si>
  <si>
    <t>STD Advance Default Sugar Price</t>
  </si>
  <si>
    <t>STD Default Tonnage</t>
  </si>
  <si>
    <t>Average Sugar Price (STD)</t>
  </si>
  <si>
    <t>Payment</t>
  </si>
  <si>
    <t>STD Cane Price</t>
  </si>
  <si>
    <t>COD</t>
  </si>
  <si>
    <t>Default</t>
  </si>
  <si>
    <t>Inputs</t>
  </si>
  <si>
    <t>Current Pool Prices</t>
  </si>
  <si>
    <t>MTM Value Unpriced Orders</t>
  </si>
  <si>
    <t>NET Actual 
A$/mt Price</t>
  </si>
  <si>
    <t>IPS Conversion Factor</t>
  </si>
  <si>
    <t>NET IPS A$/mt Price</t>
  </si>
  <si>
    <t>Advances Options</t>
  </si>
  <si>
    <t>$/t IPS price</t>
  </si>
  <si>
    <t xml:space="preserve">Tonnes IPS currently to be paid </t>
  </si>
  <si>
    <t>Deferred Advances</t>
  </si>
  <si>
    <t>Prepayment</t>
  </si>
  <si>
    <t>Cane Tonne Production</t>
  </si>
  <si>
    <t>Prepayment %</t>
  </si>
  <si>
    <t>Additional Payments</t>
  </si>
  <si>
    <t>PPA Sugar Tonnes Actual</t>
  </si>
  <si>
    <t>PPA Sugar Tonnes
IPS</t>
  </si>
  <si>
    <t>Tonnes IPS Nominated (Total)</t>
  </si>
  <si>
    <t>Price Request Nominated &amp; fulfilled for COD</t>
  </si>
  <si>
    <t>Net Allocation Account Amount  - A$/mt actual</t>
  </si>
  <si>
    <t>Not Applicable</t>
  </si>
  <si>
    <t>March Pre-Season Payment</t>
  </si>
  <si>
    <t xml:space="preserve">NY11 AUD Price
(Gross Price)
</t>
  </si>
  <si>
    <t>Pre-Season Payment Recovery</t>
  </si>
  <si>
    <t>Gross Cane Value Due</t>
  </si>
  <si>
    <t xml:space="preserve">Gross Cane Value to be paid </t>
  </si>
  <si>
    <t>WARNING</t>
  </si>
  <si>
    <t xml:space="preserve">Please note that this cash flow forecast is indicative only. It is based on the most up to date information available. Values are subject to change and will continue to change throughout the season while pool values, premiums, charges, IPS factors continued to be finalised. </t>
  </si>
  <si>
    <t>These values relate to Cane Delivery (GCV) payments only and are exclusive of GST.  They do not contain any liens, levies, deductions or other payments that may be processed in your cane pay.  Therefore the dollar values listed in this cashflow forecast are not the dollars that will go into your bank account.</t>
  </si>
  <si>
    <t>This is designed to be used as a tool to help you better determine your income and expected advance rate.</t>
  </si>
  <si>
    <t>Wilmar Sugar Australia Limited and its employees, contractors, agents, representatives and related bodies corporate (“Wilmar Sugar”) make reasonable endeavours to ensure the content, information, data and pricing (“Information”) which appears directly or as incorporated by reference herein is obtained from reliable sources however Wilmar Sugar does not represent or warrant, albeit expressly or impliedly, that the Information is accurate, up to date, reliable or complete. Further, the Information:</t>
  </si>
  <si>
    <t>(a) may be based on assumptions or market conditions and may change without notice;</t>
  </si>
  <si>
    <t xml:space="preserve">(b) is indicative only and may contain errors; and, </t>
  </si>
  <si>
    <t>(c) relates to the value of products which can and do fluctuate.</t>
  </si>
  <si>
    <t>The Information does not take account of your objectives, financial situation or needs and must not be relied on in any way or acted upon as financial, investment or any other form of advice. We recommend you obtain independent financial, legal and taxation advice before making any financial investment decision.</t>
  </si>
  <si>
    <t>Text Copyright © Wilmar Sugar Pty Ltd (ACN 081 051 792) -  2016</t>
  </si>
  <si>
    <t>Wilmar Sugar Pty Ltd has asserted its right to be identified as the author of this Work in accordance with the Copyright Act 1968</t>
  </si>
  <si>
    <t>Future Season Forecast</t>
  </si>
  <si>
    <t>Monthly Percentage Cut</t>
  </si>
  <si>
    <t>Cumulative Cane Value to be paid</t>
  </si>
  <si>
    <t>Sugar Australia Levy</t>
  </si>
  <si>
    <t>Collective Levy</t>
  </si>
  <si>
    <t>Production Board Levy</t>
  </si>
  <si>
    <t>Harvesting and Levy Costs</t>
  </si>
  <si>
    <t>Total Deductions</t>
  </si>
  <si>
    <t>Harvesting Cost</t>
  </si>
  <si>
    <t>Harvesting  Cost</t>
  </si>
  <si>
    <t>per tonne of cane</t>
  </si>
  <si>
    <t>Sugar Research Aust</t>
  </si>
  <si>
    <t>** All values are GST exclusive.</t>
  </si>
  <si>
    <t>$ Rate **</t>
  </si>
  <si>
    <t>Any cell that is this colour yellow is a user input cell.</t>
  </si>
  <si>
    <t>Cumulative Cane Value less harvesting and levies</t>
  </si>
  <si>
    <t>Gross Cane Value less harvesting and Levies</t>
  </si>
  <si>
    <t>Other costs</t>
  </si>
  <si>
    <t>Target Price Unfilled</t>
  </si>
  <si>
    <t>Repayment Rate</t>
  </si>
  <si>
    <t>PSP Amount</t>
  </si>
  <si>
    <t>$ per tonne</t>
  </si>
  <si>
    <t>GMPRS Price</t>
  </si>
  <si>
    <t>GMPRS Price Unfilled</t>
  </si>
  <si>
    <t>Text Copyright © Wilmar Sugar Pty Ltd (ACN 081 051 792)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</si>
</sst>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quot;$&quot;* #,##0.00_-;_-&quot;$&quot;* &quot;-&quot;??_-;_-@_-"/>
    <numFmt numFmtId="164" formatCode="#,##0_);\(#,##0\);&quot;-  &quot;;&quot; &quot;@"/>
    <numFmt numFmtId="165" formatCode="#,##0\ &quot;mt&quot;"/>
    <numFmt numFmtId="166" formatCode="0.00%_);\-0.00%_);&quot;-  &quot;;&quot; &quot;@"/>
    <numFmt numFmtId="167" formatCode="dd\ mmm\ yyyy_);;&quot;-  &quot;;&quot; &quot;@"/>
    <numFmt numFmtId="168" formatCode="dd\ mmm\ yy_);;&quot;-  &quot;;&quot; &quot;@"/>
    <numFmt numFmtId="169" formatCode="#,##0.0000_);\(#,##0.0000\);&quot;-  &quot;;&quot; &quot;@"/>
    <numFmt numFmtId="170" formatCode="0.00000"/>
    <numFmt numFmtId="171" formatCode="0.0%_);\-0.0%_);&quot;-  &quot;;&quot; &quot;@"/>
    <numFmt numFmtId="172" formatCode="0.0%"/>
    <numFmt numFmtId="173" formatCode="&quot;$&quot;#,##0.000"/>
    <numFmt numFmtId="174" formatCode="#,##0.00_);\(#,##0.00\);&quot;-  &quot;;&quot; &quot;@"/>
    <numFmt numFmtId="175" formatCode="&quot;$&quot;#,##0.00"/>
  </numFmts>
  <fonts count="18" x14ac:knownFonts="1">
    <font>
      <sz val="10"/>
      <name val="Arial"/>
      <family val="2"/>
    </font>
    <font>
      <sz val="10"/>
      <color theme="1"/>
      <name val="Arial"/>
      <family val="2"/>
    </font>
    <font>
      <b/>
      <sz val="10"/>
      <color theme="0"/>
      <name val="Arial"/>
      <family val="2"/>
    </font>
    <font>
      <sz val="10"/>
      <name val="Arial"/>
      <family val="2"/>
    </font>
    <font>
      <b/>
      <sz val="10"/>
      <name val="Arial"/>
      <family val="2"/>
    </font>
    <font>
      <sz val="11"/>
      <name val="Calibri"/>
      <family val="2"/>
      <scheme val="minor"/>
    </font>
    <font>
      <sz val="12"/>
      <color theme="0" tint="-0.14999847407452621"/>
      <name val="Calibri"/>
      <family val="2"/>
      <scheme val="minor"/>
    </font>
    <font>
      <sz val="12"/>
      <name val="Calibri"/>
      <family val="2"/>
      <scheme val="minor"/>
    </font>
    <font>
      <b/>
      <sz val="12"/>
      <color theme="3" tint="-0.499984740745262"/>
      <name val="Calibri"/>
      <family val="2"/>
      <scheme val="minor"/>
    </font>
    <font>
      <sz val="12"/>
      <color theme="3" tint="-0.499984740745262"/>
      <name val="Calibri"/>
      <family val="2"/>
      <scheme val="minor"/>
    </font>
    <font>
      <b/>
      <sz val="12"/>
      <name val="Calibri"/>
      <family val="2"/>
      <scheme val="minor"/>
    </font>
    <font>
      <b/>
      <sz val="14"/>
      <color theme="0" tint="-0.14999847407452621"/>
      <name val="Calibri"/>
      <family val="2"/>
      <scheme val="minor"/>
    </font>
    <font>
      <i/>
      <sz val="9"/>
      <name val="Calibri"/>
      <family val="2"/>
      <scheme val="minor"/>
    </font>
    <font>
      <i/>
      <sz val="9"/>
      <name val="Arial"/>
      <family val="2"/>
    </font>
    <font>
      <i/>
      <sz val="10"/>
      <name val="Calibri"/>
      <family val="2"/>
      <scheme val="minor"/>
    </font>
    <font>
      <sz val="12"/>
      <color theme="0"/>
      <name val="Calibri"/>
      <family val="2"/>
      <scheme val="minor"/>
    </font>
    <font>
      <b/>
      <i/>
      <sz val="10"/>
      <name val="Arial"/>
      <family val="2"/>
    </font>
    <font>
      <b/>
      <i/>
      <sz val="12"/>
      <name val="Calibri"/>
      <family val="2"/>
      <scheme val="minor"/>
    </font>
  </fonts>
  <fills count="10">
    <fill>
      <patternFill patternType="none"/>
    </fill>
    <fill>
      <patternFill patternType="gray125"/>
    </fill>
    <fill>
      <patternFill patternType="solid">
        <fgColor theme="3"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6666"/>
        <bgColor indexed="64"/>
      </patternFill>
    </fill>
    <fill>
      <patternFill patternType="solid">
        <fgColor rgb="FFFFFFCC"/>
        <bgColor indexed="64"/>
      </patternFill>
    </fill>
    <fill>
      <patternFill patternType="solid">
        <fgColor theme="6" tint="0.39997558519241921"/>
        <bgColor indexed="64"/>
      </patternFill>
    </fill>
    <fill>
      <patternFill patternType="solid">
        <fgColor theme="0"/>
        <bgColor indexed="64"/>
      </patternFill>
    </fill>
    <fill>
      <patternFill patternType="solid">
        <fgColor theme="4" tint="0.59999389629810485"/>
        <bgColor indexed="64"/>
      </patternFill>
    </fill>
  </fills>
  <borders count="44">
    <border>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style="thin">
        <color indexed="64"/>
      </top>
      <bottom style="thin">
        <color indexed="64"/>
      </bottom>
      <diagonal/>
    </border>
    <border>
      <left style="hair">
        <color indexed="64"/>
      </left>
      <right style="thin">
        <color indexed="64"/>
      </right>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hair">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thin">
        <color indexed="64"/>
      </right>
      <top style="hair">
        <color indexed="64"/>
      </top>
      <bottom/>
      <diagonal/>
    </border>
  </borders>
  <cellStyleXfs count="9">
    <xf numFmtId="164" fontId="0" fillId="0" borderId="0" applyFont="0" applyFill="0" applyBorder="0" applyProtection="0">
      <alignment vertical="top"/>
    </xf>
    <xf numFmtId="9" fontId="1" fillId="0" borderId="0" applyFont="0" applyFill="0" applyBorder="0" applyAlignment="0" applyProtection="0"/>
    <xf numFmtId="44" fontId="3" fillId="0" borderId="0" applyFont="0" applyFill="0" applyBorder="0" applyAlignment="0" applyProtection="0"/>
    <xf numFmtId="166" fontId="3" fillId="0" borderId="0" applyFont="0" applyFill="0" applyBorder="0" applyProtection="0">
      <alignment vertical="top"/>
    </xf>
    <xf numFmtId="167" fontId="3" fillId="0" borderId="0" applyFont="0" applyFill="0" applyBorder="0" applyProtection="0">
      <alignment vertical="top"/>
    </xf>
    <xf numFmtId="168" fontId="3" fillId="0" borderId="0" applyFont="0" applyFill="0" applyBorder="0" applyProtection="0">
      <alignment vertical="top"/>
    </xf>
    <xf numFmtId="169" fontId="3" fillId="0" borderId="0" applyFont="0" applyFill="0" applyBorder="0" applyProtection="0">
      <alignment vertical="top"/>
    </xf>
    <xf numFmtId="169" fontId="3" fillId="0" borderId="0" applyFont="0" applyFill="0" applyBorder="0" applyAlignment="0" applyProtection="0"/>
    <xf numFmtId="44" fontId="3" fillId="0" borderId="0" applyFont="0" applyFill="0" applyBorder="0" applyAlignment="0" applyProtection="0"/>
  </cellStyleXfs>
  <cellXfs count="187">
    <xf numFmtId="164" fontId="0" fillId="0" borderId="0" xfId="0">
      <alignment vertical="top"/>
    </xf>
    <xf numFmtId="164" fontId="5" fillId="0" borderId="0" xfId="0" applyFont="1" applyProtection="1">
      <alignment vertical="top"/>
      <protection hidden="1"/>
    </xf>
    <xf numFmtId="164" fontId="14" fillId="0" borderId="0" xfId="0" applyFont="1" applyProtection="1">
      <alignment vertical="top"/>
      <protection hidden="1"/>
    </xf>
    <xf numFmtId="164" fontId="0" fillId="0" borderId="0" xfId="0" applyProtection="1">
      <alignment vertical="top"/>
      <protection hidden="1"/>
    </xf>
    <xf numFmtId="164" fontId="12" fillId="0" borderId="0" xfId="0" applyFont="1" applyProtection="1">
      <alignment vertical="top"/>
      <protection hidden="1"/>
    </xf>
    <xf numFmtId="164" fontId="13" fillId="0" borderId="0" xfId="0" applyFont="1" applyProtection="1">
      <alignment vertical="top"/>
      <protection hidden="1"/>
    </xf>
    <xf numFmtId="164" fontId="4" fillId="8" borderId="1" xfId="0" applyFont="1" applyFill="1" applyBorder="1" applyProtection="1">
      <alignment vertical="top"/>
      <protection hidden="1"/>
    </xf>
    <xf numFmtId="164" fontId="0" fillId="8" borderId="1" xfId="0" applyFill="1" applyBorder="1" applyProtection="1">
      <alignment vertical="top"/>
      <protection hidden="1"/>
    </xf>
    <xf numFmtId="164" fontId="4" fillId="8" borderId="2" xfId="0" applyFont="1" applyFill="1" applyBorder="1" applyProtection="1">
      <alignment vertical="top"/>
      <protection hidden="1"/>
    </xf>
    <xf numFmtId="164" fontId="0" fillId="8" borderId="25" xfId="0" applyFill="1" applyBorder="1" applyProtection="1">
      <alignment vertical="top"/>
      <protection hidden="1"/>
    </xf>
    <xf numFmtId="164" fontId="0" fillId="8" borderId="0" xfId="0" applyFill="1" applyBorder="1" applyProtection="1">
      <alignment vertical="top"/>
      <protection hidden="1"/>
    </xf>
    <xf numFmtId="164" fontId="0" fillId="8" borderId="26" xfId="0" applyFill="1" applyBorder="1" applyProtection="1">
      <alignment vertical="top"/>
      <protection hidden="1"/>
    </xf>
    <xf numFmtId="165" fontId="4" fillId="8" borderId="27" xfId="0" applyNumberFormat="1" applyFont="1" applyFill="1" applyBorder="1" applyProtection="1">
      <alignment vertical="top"/>
      <protection hidden="1"/>
    </xf>
    <xf numFmtId="164" fontId="4" fillId="8" borderId="28" xfId="0" applyFont="1" applyFill="1" applyBorder="1" applyProtection="1">
      <alignment vertical="top"/>
      <protection hidden="1"/>
    </xf>
    <xf numFmtId="164" fontId="4" fillId="8" borderId="27" xfId="0" applyFont="1" applyFill="1" applyBorder="1" applyProtection="1">
      <alignment vertical="top"/>
      <protection hidden="1"/>
    </xf>
    <xf numFmtId="164" fontId="12" fillId="8" borderId="25" xfId="0" applyFont="1" applyFill="1" applyBorder="1" applyProtection="1">
      <alignment vertical="top"/>
      <protection hidden="1"/>
    </xf>
    <xf numFmtId="164" fontId="12" fillId="8" borderId="0" xfId="0" applyFont="1" applyFill="1" applyBorder="1" applyProtection="1">
      <alignment vertical="top"/>
      <protection hidden="1"/>
    </xf>
    <xf numFmtId="164" fontId="12" fillId="8" borderId="26" xfId="0" applyFont="1" applyFill="1" applyBorder="1" applyProtection="1">
      <alignment vertical="top"/>
      <protection hidden="1"/>
    </xf>
    <xf numFmtId="164" fontId="13" fillId="8" borderId="25" xfId="0" applyFont="1" applyFill="1" applyBorder="1" applyProtection="1">
      <alignment vertical="top"/>
      <protection hidden="1"/>
    </xf>
    <xf numFmtId="164" fontId="13" fillId="8" borderId="0" xfId="0" applyFont="1" applyFill="1" applyBorder="1" applyProtection="1">
      <alignment vertical="top"/>
      <protection hidden="1"/>
    </xf>
    <xf numFmtId="164" fontId="13" fillId="8" borderId="26" xfId="0" applyFont="1" applyFill="1" applyBorder="1" applyProtection="1">
      <alignment vertical="top"/>
      <protection hidden="1"/>
    </xf>
    <xf numFmtId="164" fontId="12" fillId="8" borderId="31" xfId="0" applyFont="1" applyFill="1" applyBorder="1" applyProtection="1">
      <alignment vertical="top"/>
      <protection hidden="1"/>
    </xf>
    <xf numFmtId="164" fontId="14" fillId="8" borderId="25" xfId="0" applyFont="1" applyFill="1" applyBorder="1" applyProtection="1">
      <alignment vertical="top"/>
      <protection hidden="1"/>
    </xf>
    <xf numFmtId="164" fontId="14" fillId="8" borderId="0" xfId="0" applyFont="1" applyFill="1" applyBorder="1" applyProtection="1">
      <alignment vertical="top"/>
      <protection hidden="1"/>
    </xf>
    <xf numFmtId="164" fontId="14" fillId="8" borderId="26" xfId="0" applyFont="1" applyFill="1" applyBorder="1" applyProtection="1">
      <alignment vertical="top"/>
      <protection hidden="1"/>
    </xf>
    <xf numFmtId="164" fontId="14" fillId="8" borderId="30" xfId="0" applyFont="1" applyFill="1" applyBorder="1" applyProtection="1">
      <alignment vertical="top"/>
      <protection hidden="1"/>
    </xf>
    <xf numFmtId="164" fontId="14" fillId="8" borderId="31" xfId="0" applyFont="1" applyFill="1" applyBorder="1" applyProtection="1">
      <alignment vertical="top"/>
      <protection hidden="1"/>
    </xf>
    <xf numFmtId="165" fontId="3" fillId="6" borderId="1" xfId="0" applyNumberFormat="1" applyFont="1" applyFill="1" applyBorder="1" applyProtection="1">
      <alignment vertical="top"/>
      <protection locked="0"/>
    </xf>
    <xf numFmtId="164" fontId="6" fillId="0" borderId="0" xfId="0" applyFont="1" applyFill="1" applyProtection="1">
      <alignment vertical="top"/>
      <protection hidden="1"/>
    </xf>
    <xf numFmtId="164" fontId="7" fillId="0" borderId="0" xfId="0" applyFont="1" applyFill="1" applyProtection="1">
      <alignment vertical="top"/>
      <protection hidden="1"/>
    </xf>
    <xf numFmtId="164" fontId="7" fillId="0" borderId="0" xfId="0" applyFont="1" applyProtection="1">
      <alignment vertical="top"/>
      <protection hidden="1"/>
    </xf>
    <xf numFmtId="164" fontId="8" fillId="3" borderId="25" xfId="0" applyFont="1" applyFill="1" applyBorder="1" applyProtection="1">
      <alignment vertical="top"/>
      <protection hidden="1"/>
    </xf>
    <xf numFmtId="164" fontId="9" fillId="3" borderId="0" xfId="0" applyFont="1" applyFill="1" applyBorder="1" applyProtection="1">
      <alignment vertical="top"/>
      <protection hidden="1"/>
    </xf>
    <xf numFmtId="164" fontId="9" fillId="3" borderId="26" xfId="0" applyFont="1" applyFill="1" applyBorder="1" applyProtection="1">
      <alignment vertical="top"/>
      <protection hidden="1"/>
    </xf>
    <xf numFmtId="164" fontId="10" fillId="0" borderId="34" xfId="0" applyFont="1" applyBorder="1" applyAlignment="1" applyProtection="1">
      <alignment vertical="top" wrapText="1"/>
      <protection hidden="1"/>
    </xf>
    <xf numFmtId="164" fontId="10" fillId="0" borderId="10" xfId="0" applyFont="1" applyBorder="1" applyAlignment="1" applyProtection="1">
      <alignment vertical="top" wrapText="1"/>
      <protection hidden="1"/>
    </xf>
    <xf numFmtId="164" fontId="10" fillId="0" borderId="5" xfId="0" applyFont="1" applyBorder="1" applyAlignment="1" applyProtection="1">
      <alignment vertical="top" wrapText="1"/>
      <protection hidden="1"/>
    </xf>
    <xf numFmtId="164" fontId="10" fillId="0" borderId="7" xfId="0" applyFont="1" applyBorder="1" applyAlignment="1" applyProtection="1">
      <alignment vertical="top" wrapText="1"/>
      <protection hidden="1"/>
    </xf>
    <xf numFmtId="164" fontId="10" fillId="0" borderId="8" xfId="0" applyFont="1" applyBorder="1" applyAlignment="1" applyProtection="1">
      <alignment vertical="top" wrapText="1"/>
      <protection hidden="1"/>
    </xf>
    <xf numFmtId="164" fontId="10" fillId="0" borderId="17" xfId="0" applyFont="1" applyBorder="1" applyAlignment="1" applyProtection="1">
      <alignment vertical="top" wrapText="1"/>
      <protection hidden="1"/>
    </xf>
    <xf numFmtId="164" fontId="7" fillId="8" borderId="0" xfId="0" applyFont="1" applyFill="1" applyBorder="1" applyProtection="1">
      <alignment vertical="top"/>
      <protection hidden="1"/>
    </xf>
    <xf numFmtId="164" fontId="7" fillId="8" borderId="26" xfId="0" applyFont="1" applyFill="1" applyBorder="1" applyProtection="1">
      <alignment vertical="top"/>
      <protection hidden="1"/>
    </xf>
    <xf numFmtId="164" fontId="7" fillId="0" borderId="0" xfId="0" applyFont="1" applyBorder="1" applyProtection="1">
      <alignment vertical="top"/>
      <protection hidden="1"/>
    </xf>
    <xf numFmtId="164" fontId="7" fillId="0" borderId="11" xfId="0" applyFont="1" applyBorder="1" applyProtection="1">
      <alignment vertical="top"/>
      <protection hidden="1"/>
    </xf>
    <xf numFmtId="165" fontId="7" fillId="0" borderId="4" xfId="0" applyNumberFormat="1" applyFont="1" applyBorder="1" applyProtection="1">
      <alignment vertical="top"/>
      <protection hidden="1"/>
    </xf>
    <xf numFmtId="165" fontId="7" fillId="0" borderId="3" xfId="0" applyNumberFormat="1" applyFont="1" applyBorder="1" applyProtection="1">
      <alignment vertical="top"/>
      <protection hidden="1"/>
    </xf>
    <xf numFmtId="171" fontId="7" fillId="0" borderId="3" xfId="3" applyNumberFormat="1" applyFont="1" applyBorder="1" applyProtection="1">
      <alignment vertical="top"/>
      <protection hidden="1"/>
    </xf>
    <xf numFmtId="44" fontId="7" fillId="0" borderId="3" xfId="2" applyFont="1" applyBorder="1" applyAlignment="1" applyProtection="1">
      <alignment vertical="top"/>
      <protection hidden="1"/>
    </xf>
    <xf numFmtId="170" fontId="7" fillId="0" borderId="0" xfId="8" applyNumberFormat="1" applyFont="1" applyBorder="1" applyAlignment="1" applyProtection="1">
      <alignment vertical="top"/>
      <protection hidden="1"/>
    </xf>
    <xf numFmtId="44" fontId="7" fillId="0" borderId="18" xfId="2" applyFont="1" applyBorder="1" applyAlignment="1" applyProtection="1">
      <alignment vertical="top"/>
      <protection hidden="1"/>
    </xf>
    <xf numFmtId="164" fontId="15" fillId="0" borderId="0" xfId="0" applyFont="1" applyFill="1" applyProtection="1">
      <alignment vertical="top"/>
      <protection hidden="1"/>
    </xf>
    <xf numFmtId="9" fontId="15" fillId="0" borderId="0" xfId="1" applyFont="1" applyFill="1" applyAlignment="1" applyProtection="1">
      <alignment vertical="top"/>
      <protection hidden="1"/>
    </xf>
    <xf numFmtId="164" fontId="7" fillId="0" borderId="34" xfId="0" applyFont="1" applyBorder="1" applyProtection="1">
      <alignment vertical="top"/>
      <protection hidden="1"/>
    </xf>
    <xf numFmtId="164" fontId="7" fillId="0" borderId="10" xfId="0" applyFont="1" applyBorder="1" applyProtection="1">
      <alignment vertical="top"/>
      <protection hidden="1"/>
    </xf>
    <xf numFmtId="164" fontId="10" fillId="0" borderId="5" xfId="0" applyFont="1" applyBorder="1" applyProtection="1">
      <alignment vertical="top"/>
      <protection hidden="1"/>
    </xf>
    <xf numFmtId="164" fontId="10" fillId="0" borderId="7" xfId="0" applyFont="1" applyBorder="1" applyProtection="1">
      <alignment vertical="top"/>
      <protection hidden="1"/>
    </xf>
    <xf numFmtId="164" fontId="10" fillId="0" borderId="8" xfId="0" applyFont="1" applyBorder="1" applyProtection="1">
      <alignment vertical="top"/>
      <protection hidden="1"/>
    </xf>
    <xf numFmtId="164" fontId="7" fillId="0" borderId="8" xfId="0" applyFont="1" applyBorder="1" applyProtection="1">
      <alignment vertical="top"/>
      <protection hidden="1"/>
    </xf>
    <xf numFmtId="44" fontId="10" fillId="0" borderId="8" xfId="2" applyFont="1" applyFill="1" applyBorder="1" applyAlignment="1" applyProtection="1">
      <alignment vertical="top"/>
      <protection hidden="1"/>
    </xf>
    <xf numFmtId="44" fontId="10" fillId="0" borderId="9" xfId="2" applyFont="1" applyFill="1" applyBorder="1" applyAlignment="1" applyProtection="1">
      <alignment vertical="top"/>
      <protection hidden="1"/>
    </xf>
    <xf numFmtId="164" fontId="7" fillId="8" borderId="25" xfId="0" applyFont="1" applyFill="1" applyBorder="1" applyProtection="1">
      <alignment vertical="top"/>
      <protection hidden="1"/>
    </xf>
    <xf numFmtId="44" fontId="7" fillId="8" borderId="0" xfId="2" applyFont="1" applyFill="1" applyBorder="1" applyAlignment="1" applyProtection="1">
      <alignment vertical="top"/>
      <protection hidden="1"/>
    </xf>
    <xf numFmtId="164" fontId="7" fillId="8" borderId="0" xfId="0" applyFont="1" applyFill="1" applyBorder="1" applyAlignment="1" applyProtection="1">
      <alignment horizontal="right" vertical="top"/>
      <protection hidden="1"/>
    </xf>
    <xf numFmtId="9" fontId="15" fillId="0" borderId="0" xfId="0" applyNumberFormat="1" applyFont="1" applyFill="1" applyProtection="1">
      <alignment vertical="top"/>
      <protection hidden="1"/>
    </xf>
    <xf numFmtId="164" fontId="10" fillId="3" borderId="35" xfId="0" applyFont="1" applyFill="1" applyBorder="1" applyProtection="1">
      <alignment vertical="top"/>
      <protection hidden="1"/>
    </xf>
    <xf numFmtId="164" fontId="10" fillId="3" borderId="5" xfId="0" applyFont="1" applyFill="1" applyBorder="1" applyProtection="1">
      <alignment vertical="top"/>
      <protection hidden="1"/>
    </xf>
    <xf numFmtId="44" fontId="10" fillId="3" borderId="17" xfId="2" applyFont="1" applyFill="1" applyBorder="1" applyAlignment="1" applyProtection="1">
      <alignment vertical="top"/>
      <protection hidden="1"/>
    </xf>
    <xf numFmtId="164" fontId="10" fillId="0" borderId="36" xfId="0" applyFont="1" applyBorder="1" applyProtection="1">
      <alignment vertical="top"/>
      <protection hidden="1"/>
    </xf>
    <xf numFmtId="165" fontId="7" fillId="0" borderId="16" xfId="0" applyNumberFormat="1" applyFont="1" applyBorder="1" applyAlignment="1" applyProtection="1">
      <alignment vertical="top" wrapText="1"/>
      <protection hidden="1"/>
    </xf>
    <xf numFmtId="165" fontId="7" fillId="0" borderId="19" xfId="0" applyNumberFormat="1" applyFont="1" applyBorder="1" applyAlignment="1" applyProtection="1">
      <alignment vertical="top" wrapText="1"/>
      <protection hidden="1"/>
    </xf>
    <xf numFmtId="164" fontId="10" fillId="0" borderId="37" xfId="0" applyFont="1" applyBorder="1" applyProtection="1">
      <alignment vertical="top"/>
      <protection hidden="1"/>
    </xf>
    <xf numFmtId="165" fontId="7" fillId="0" borderId="14" xfId="0" applyNumberFormat="1" applyFont="1" applyBorder="1" applyAlignment="1" applyProtection="1">
      <alignment vertical="top" wrapText="1"/>
      <protection hidden="1"/>
    </xf>
    <xf numFmtId="165" fontId="7" fillId="0" borderId="20" xfId="0" applyNumberFormat="1" applyFont="1" applyBorder="1" applyAlignment="1" applyProtection="1">
      <alignment vertical="top" wrapText="1"/>
      <protection hidden="1"/>
    </xf>
    <xf numFmtId="164" fontId="10" fillId="0" borderId="38" xfId="0" applyFont="1" applyBorder="1" applyProtection="1">
      <alignment vertical="top"/>
      <protection hidden="1"/>
    </xf>
    <xf numFmtId="44" fontId="7" fillId="0" borderId="15" xfId="2" applyFont="1" applyBorder="1" applyAlignment="1" applyProtection="1">
      <alignment vertical="top" wrapText="1"/>
      <protection hidden="1"/>
    </xf>
    <xf numFmtId="44" fontId="7" fillId="0" borderId="21" xfId="2" applyFont="1" applyBorder="1" applyAlignment="1" applyProtection="1">
      <alignment vertical="top" wrapText="1"/>
      <protection hidden="1"/>
    </xf>
    <xf numFmtId="164" fontId="10" fillId="8" borderId="25" xfId="0" applyFont="1" applyFill="1" applyBorder="1" applyProtection="1">
      <alignment vertical="top"/>
      <protection hidden="1"/>
    </xf>
    <xf numFmtId="44" fontId="7" fillId="8" borderId="0" xfId="2" applyFont="1" applyFill="1" applyBorder="1" applyAlignment="1" applyProtection="1">
      <alignment vertical="top" wrapText="1"/>
      <protection hidden="1"/>
    </xf>
    <xf numFmtId="164" fontId="15" fillId="0" borderId="0" xfId="0" applyFont="1" applyProtection="1">
      <alignment vertical="top"/>
      <protection hidden="1"/>
    </xf>
    <xf numFmtId="164" fontId="10" fillId="3" borderId="39" xfId="0" applyFont="1" applyFill="1" applyBorder="1" applyProtection="1">
      <alignment vertical="top"/>
      <protection hidden="1"/>
    </xf>
    <xf numFmtId="44" fontId="7" fillId="3" borderId="17" xfId="2" applyFont="1" applyFill="1" applyBorder="1" applyAlignment="1" applyProtection="1">
      <alignment vertical="top" wrapText="1"/>
      <protection hidden="1"/>
    </xf>
    <xf numFmtId="164" fontId="7" fillId="0" borderId="32" xfId="0" applyFont="1" applyBorder="1" applyProtection="1">
      <alignment vertical="top"/>
      <protection hidden="1"/>
    </xf>
    <xf numFmtId="164" fontId="7" fillId="0" borderId="12" xfId="0" applyFont="1" applyBorder="1" applyProtection="1">
      <alignment vertical="top"/>
      <protection hidden="1"/>
    </xf>
    <xf numFmtId="164" fontId="7" fillId="0" borderId="27" xfId="0" applyFont="1" applyBorder="1" applyProtection="1">
      <alignment vertical="top"/>
      <protection hidden="1"/>
    </xf>
    <xf numFmtId="164" fontId="7" fillId="0" borderId="40" xfId="0" applyFont="1" applyBorder="1" applyProtection="1">
      <alignment vertical="top"/>
      <protection hidden="1"/>
    </xf>
    <xf numFmtId="44" fontId="7" fillId="0" borderId="6" xfId="8" applyFont="1" applyBorder="1" applyAlignment="1" applyProtection="1">
      <alignment vertical="top"/>
      <protection hidden="1"/>
    </xf>
    <xf numFmtId="164" fontId="10" fillId="8" borderId="0" xfId="0" applyFont="1" applyFill="1" applyBorder="1" applyProtection="1">
      <alignment vertical="top"/>
      <protection hidden="1"/>
    </xf>
    <xf numFmtId="165" fontId="10" fillId="8" borderId="0" xfId="0" applyNumberFormat="1" applyFont="1" applyFill="1" applyBorder="1" applyAlignment="1" applyProtection="1">
      <alignment vertical="top" wrapText="1"/>
      <protection hidden="1"/>
    </xf>
    <xf numFmtId="44" fontId="10" fillId="8" borderId="0" xfId="2" applyFont="1" applyFill="1" applyBorder="1" applyAlignment="1" applyProtection="1">
      <alignment vertical="top" wrapText="1"/>
      <protection hidden="1"/>
    </xf>
    <xf numFmtId="164" fontId="8" fillId="0" borderId="27" xfId="0" applyFont="1" applyFill="1" applyBorder="1" applyProtection="1">
      <alignment vertical="top"/>
      <protection hidden="1"/>
    </xf>
    <xf numFmtId="164" fontId="8" fillId="0" borderId="1" xfId="0" applyFont="1" applyFill="1" applyBorder="1" applyAlignment="1" applyProtection="1">
      <alignment vertical="top" wrapText="1"/>
      <protection hidden="1"/>
    </xf>
    <xf numFmtId="17" fontId="10" fillId="0" borderId="0" xfId="0" applyNumberFormat="1" applyFont="1" applyProtection="1">
      <alignment vertical="top"/>
      <protection hidden="1"/>
    </xf>
    <xf numFmtId="164" fontId="10" fillId="0" borderId="0" xfId="0" applyFont="1" applyProtection="1">
      <alignment vertical="top"/>
      <protection hidden="1"/>
    </xf>
    <xf numFmtId="164" fontId="10" fillId="0" borderId="27" xfId="0" applyFont="1" applyBorder="1" applyAlignment="1" applyProtection="1">
      <alignment vertical="top" wrapText="1"/>
      <protection hidden="1"/>
    </xf>
    <xf numFmtId="164" fontId="10" fillId="0" borderId="1" xfId="0" applyFont="1" applyBorder="1" applyAlignment="1" applyProtection="1">
      <alignment vertical="top" wrapText="1"/>
      <protection hidden="1"/>
    </xf>
    <xf numFmtId="44" fontId="10" fillId="7" borderId="1" xfId="8" applyFont="1" applyFill="1" applyBorder="1" applyAlignment="1" applyProtection="1">
      <alignment vertical="center"/>
      <protection hidden="1"/>
    </xf>
    <xf numFmtId="164" fontId="7" fillId="6" borderId="33" xfId="0" applyFont="1" applyFill="1" applyBorder="1" applyProtection="1">
      <alignment vertical="top"/>
      <protection locked="0"/>
    </xf>
    <xf numFmtId="165" fontId="7" fillId="6" borderId="4" xfId="0" applyNumberFormat="1" applyFont="1" applyFill="1" applyBorder="1" applyProtection="1">
      <alignment vertical="top"/>
      <protection locked="0"/>
    </xf>
    <xf numFmtId="44" fontId="7" fillId="6" borderId="3" xfId="2" applyFont="1" applyFill="1" applyBorder="1" applyAlignment="1" applyProtection="1">
      <alignment vertical="top"/>
      <protection locked="0"/>
    </xf>
    <xf numFmtId="165" fontId="7" fillId="6" borderId="17" xfId="0" applyNumberFormat="1" applyFont="1" applyFill="1" applyBorder="1" applyAlignment="1" applyProtection="1">
      <alignment horizontal="center" vertical="top" wrapText="1"/>
      <protection locked="0"/>
    </xf>
    <xf numFmtId="9" fontId="7" fillId="6" borderId="13" xfId="1" applyFont="1" applyFill="1" applyBorder="1" applyAlignment="1" applyProtection="1">
      <alignment vertical="top"/>
      <protection locked="0"/>
    </xf>
    <xf numFmtId="164" fontId="2" fillId="5" borderId="25" xfId="0" applyFont="1" applyFill="1" applyBorder="1" applyProtection="1">
      <alignment vertical="top"/>
      <protection hidden="1"/>
    </xf>
    <xf numFmtId="164" fontId="0" fillId="5" borderId="0" xfId="0" applyFill="1" applyBorder="1" applyProtection="1">
      <alignment vertical="top"/>
      <protection hidden="1"/>
    </xf>
    <xf numFmtId="164" fontId="0" fillId="5" borderId="26" xfId="0" applyFill="1" applyBorder="1" applyProtection="1">
      <alignment vertical="top"/>
      <protection hidden="1"/>
    </xf>
    <xf numFmtId="164" fontId="0" fillId="8" borderId="22" xfId="0" applyFill="1" applyBorder="1" applyProtection="1">
      <alignment vertical="top"/>
      <protection hidden="1"/>
    </xf>
    <xf numFmtId="164" fontId="0" fillId="8" borderId="23" xfId="0" applyFill="1" applyBorder="1" applyProtection="1">
      <alignment vertical="top"/>
      <protection hidden="1"/>
    </xf>
    <xf numFmtId="164" fontId="0" fillId="8" borderId="24" xfId="0" applyFill="1" applyBorder="1" applyProtection="1">
      <alignment vertical="top"/>
      <protection hidden="1"/>
    </xf>
    <xf numFmtId="164" fontId="11" fillId="2" borderId="25" xfId="0" applyFont="1" applyFill="1" applyBorder="1" applyProtection="1">
      <alignment vertical="top"/>
      <protection hidden="1"/>
    </xf>
    <xf numFmtId="164" fontId="6" fillId="2" borderId="0" xfId="0" applyFont="1" applyFill="1" applyBorder="1" applyProtection="1">
      <alignment vertical="top"/>
      <protection hidden="1"/>
    </xf>
    <xf numFmtId="164" fontId="6" fillId="2" borderId="26" xfId="0" applyFont="1" applyFill="1" applyBorder="1" applyProtection="1">
      <alignment vertical="top"/>
      <protection hidden="1"/>
    </xf>
    <xf numFmtId="164" fontId="7" fillId="8" borderId="22" xfId="0" applyFont="1" applyFill="1" applyBorder="1" applyProtection="1">
      <alignment vertical="top"/>
      <protection hidden="1"/>
    </xf>
    <xf numFmtId="164" fontId="7" fillId="8" borderId="23" xfId="0" applyFont="1" applyFill="1" applyBorder="1" applyProtection="1">
      <alignment vertical="top"/>
      <protection hidden="1"/>
    </xf>
    <xf numFmtId="164" fontId="7" fillId="8" borderId="24" xfId="0" applyFont="1" applyFill="1" applyBorder="1" applyProtection="1">
      <alignment vertical="top"/>
      <protection hidden="1"/>
    </xf>
    <xf numFmtId="164" fontId="7" fillId="8" borderId="33" xfId="0" applyFont="1" applyFill="1" applyBorder="1" applyProtection="1">
      <alignment vertical="top"/>
      <protection hidden="1"/>
    </xf>
    <xf numFmtId="172" fontId="0" fillId="6" borderId="1" xfId="1" applyNumberFormat="1" applyFont="1" applyFill="1" applyBorder="1" applyAlignment="1" applyProtection="1">
      <alignment vertical="top"/>
      <protection locked="0"/>
    </xf>
    <xf numFmtId="44" fontId="10" fillId="9" borderId="1" xfId="8" applyFont="1" applyFill="1" applyBorder="1" applyAlignment="1" applyProtection="1">
      <alignment vertical="center"/>
      <protection hidden="1"/>
    </xf>
    <xf numFmtId="164" fontId="4" fillId="8" borderId="0" xfId="0" applyFont="1" applyFill="1" applyBorder="1" applyAlignment="1" applyProtection="1">
      <alignment vertical="center"/>
      <protection hidden="1"/>
    </xf>
    <xf numFmtId="164" fontId="4" fillId="8" borderId="0" xfId="0" applyFont="1" applyFill="1" applyBorder="1" applyProtection="1">
      <alignment vertical="top"/>
      <protection hidden="1"/>
    </xf>
    <xf numFmtId="164" fontId="16" fillId="8" borderId="0" xfId="0" applyFont="1" applyFill="1" applyBorder="1" applyProtection="1">
      <alignment vertical="top"/>
      <protection hidden="1"/>
    </xf>
    <xf numFmtId="164" fontId="4" fillId="8" borderId="1" xfId="0" applyFont="1" applyFill="1" applyBorder="1" applyAlignment="1" applyProtection="1">
      <alignment vertical="center"/>
      <protection hidden="1"/>
    </xf>
    <xf numFmtId="164" fontId="16" fillId="8" borderId="1" xfId="0" applyFont="1" applyFill="1" applyBorder="1" applyProtection="1">
      <alignment vertical="top"/>
      <protection hidden="1"/>
    </xf>
    <xf numFmtId="173" fontId="0" fillId="6" borderId="1" xfId="0" applyNumberFormat="1" applyFill="1" applyBorder="1" applyProtection="1">
      <alignment vertical="top"/>
      <protection locked="0"/>
    </xf>
    <xf numFmtId="164" fontId="10" fillId="7" borderId="27" xfId="0" applyFont="1" applyFill="1" applyBorder="1" applyAlignment="1" applyProtection="1">
      <alignment horizontal="left" vertical="center" wrapText="1"/>
      <protection hidden="1"/>
    </xf>
    <xf numFmtId="164" fontId="10" fillId="9" borderId="27" xfId="0" applyFont="1" applyFill="1" applyBorder="1" applyAlignment="1" applyProtection="1">
      <alignment horizontal="left" vertical="center"/>
      <protection hidden="1"/>
    </xf>
    <xf numFmtId="164" fontId="8" fillId="4" borderId="1" xfId="0" applyFont="1" applyFill="1" applyBorder="1" applyProtection="1">
      <alignment vertical="top"/>
      <protection hidden="1"/>
    </xf>
    <xf numFmtId="164" fontId="9" fillId="4" borderId="1" xfId="0" applyFont="1" applyFill="1" applyBorder="1" applyProtection="1">
      <alignment vertical="top"/>
      <protection hidden="1"/>
    </xf>
    <xf numFmtId="164" fontId="7" fillId="4" borderId="1" xfId="0" applyFont="1" applyFill="1" applyBorder="1" applyProtection="1">
      <alignment vertical="top"/>
      <protection hidden="1"/>
    </xf>
    <xf numFmtId="9" fontId="8" fillId="0" borderId="1" xfId="1" applyFont="1" applyFill="1" applyBorder="1" applyAlignment="1" applyProtection="1">
      <alignment vertical="top"/>
      <protection hidden="1"/>
    </xf>
    <xf numFmtId="9" fontId="8" fillId="6" borderId="1" xfId="0" applyNumberFormat="1" applyFont="1" applyFill="1" applyBorder="1" applyProtection="1">
      <alignment vertical="top"/>
      <protection locked="0"/>
    </xf>
    <xf numFmtId="9" fontId="10" fillId="0" borderId="1" xfId="0" applyNumberFormat="1" applyFont="1" applyBorder="1" applyProtection="1">
      <alignment vertical="top"/>
      <protection hidden="1"/>
    </xf>
    <xf numFmtId="164" fontId="10" fillId="0" borderId="1" xfId="0" applyFont="1" applyBorder="1" applyProtection="1">
      <alignment vertical="top"/>
      <protection hidden="1"/>
    </xf>
    <xf numFmtId="164" fontId="7" fillId="0" borderId="1" xfId="0" applyFont="1" applyBorder="1" applyProtection="1">
      <alignment vertical="top"/>
      <protection hidden="1"/>
    </xf>
    <xf numFmtId="164" fontId="10" fillId="0" borderId="1" xfId="0" applyFont="1" applyFill="1" applyBorder="1" applyProtection="1">
      <alignment vertical="top"/>
      <protection hidden="1"/>
    </xf>
    <xf numFmtId="164" fontId="7" fillId="0" borderId="1" xfId="0" applyFont="1" applyFill="1" applyBorder="1" applyProtection="1">
      <alignment vertical="top"/>
      <protection hidden="1"/>
    </xf>
    <xf numFmtId="165" fontId="10" fillId="0" borderId="1" xfId="0" applyNumberFormat="1" applyFont="1" applyBorder="1" applyAlignment="1" applyProtection="1">
      <alignment vertical="top" wrapText="1"/>
      <protection hidden="1"/>
    </xf>
    <xf numFmtId="166" fontId="7" fillId="6" borderId="1" xfId="3" applyFont="1" applyFill="1" applyBorder="1" applyProtection="1">
      <alignment vertical="top"/>
      <protection locked="0"/>
    </xf>
    <xf numFmtId="44" fontId="7" fillId="0" borderId="1" xfId="2" applyFont="1" applyBorder="1" applyAlignment="1" applyProtection="1">
      <alignment vertical="top"/>
      <protection hidden="1"/>
    </xf>
    <xf numFmtId="165" fontId="7" fillId="0" borderId="1" xfId="0" applyNumberFormat="1" applyFont="1" applyBorder="1" applyProtection="1">
      <alignment vertical="top"/>
      <protection hidden="1"/>
    </xf>
    <xf numFmtId="164" fontId="8" fillId="4" borderId="1" xfId="0" applyFont="1" applyFill="1" applyBorder="1" applyAlignment="1" applyProtection="1">
      <alignment vertical="top" wrapText="1"/>
      <protection hidden="1"/>
    </xf>
    <xf numFmtId="44" fontId="7" fillId="0" borderId="1" xfId="8" applyFont="1" applyBorder="1" applyAlignment="1" applyProtection="1">
      <alignment vertical="top"/>
      <protection hidden="1"/>
    </xf>
    <xf numFmtId="164" fontId="10" fillId="4" borderId="1" xfId="0" applyFont="1" applyFill="1" applyBorder="1" applyProtection="1">
      <alignment vertical="top"/>
      <protection hidden="1"/>
    </xf>
    <xf numFmtId="44" fontId="7" fillId="4" borderId="1" xfId="2" applyFont="1" applyFill="1" applyBorder="1" applyAlignment="1" applyProtection="1">
      <alignment vertical="top"/>
      <protection hidden="1"/>
    </xf>
    <xf numFmtId="44" fontId="10" fillId="0" borderId="1" xfId="8" applyFont="1" applyBorder="1" applyAlignment="1" applyProtection="1">
      <alignment vertical="top"/>
      <protection hidden="1"/>
    </xf>
    <xf numFmtId="164" fontId="8" fillId="4" borderId="27" xfId="0" applyFont="1" applyFill="1" applyBorder="1" applyProtection="1">
      <alignment vertical="top"/>
      <protection hidden="1"/>
    </xf>
    <xf numFmtId="164" fontId="7" fillId="4" borderId="41" xfId="0" applyFont="1" applyFill="1" applyBorder="1" applyProtection="1">
      <alignment vertical="top"/>
      <protection hidden="1"/>
    </xf>
    <xf numFmtId="9" fontId="10" fillId="0" borderId="41" xfId="0" applyNumberFormat="1" applyFont="1" applyBorder="1" applyProtection="1">
      <alignment vertical="top"/>
      <protection hidden="1"/>
    </xf>
    <xf numFmtId="164" fontId="10" fillId="0" borderId="27" xfId="0" applyFont="1" applyBorder="1" applyProtection="1">
      <alignment vertical="top"/>
      <protection hidden="1"/>
    </xf>
    <xf numFmtId="164" fontId="7" fillId="0" borderId="41" xfId="0" applyFont="1" applyBorder="1" applyProtection="1">
      <alignment vertical="top"/>
      <protection hidden="1"/>
    </xf>
    <xf numFmtId="164" fontId="10" fillId="0" borderId="27" xfId="0" applyFont="1" applyFill="1" applyBorder="1" applyProtection="1">
      <alignment vertical="top"/>
      <protection hidden="1"/>
    </xf>
    <xf numFmtId="165" fontId="10" fillId="0" borderId="27" xfId="0" applyNumberFormat="1" applyFont="1" applyBorder="1" applyAlignment="1" applyProtection="1">
      <alignment vertical="top" wrapText="1"/>
      <protection hidden="1"/>
    </xf>
    <xf numFmtId="166" fontId="7" fillId="6" borderId="41" xfId="3" applyFont="1" applyFill="1" applyBorder="1" applyProtection="1">
      <alignment vertical="top"/>
      <protection locked="0"/>
    </xf>
    <xf numFmtId="44" fontId="7" fillId="0" borderId="41" xfId="2" applyFont="1" applyBorder="1" applyAlignment="1" applyProtection="1">
      <alignment vertical="top"/>
      <protection hidden="1"/>
    </xf>
    <xf numFmtId="165" fontId="7" fillId="0" borderId="41" xfId="0" applyNumberFormat="1" applyFont="1" applyBorder="1" applyProtection="1">
      <alignment vertical="top"/>
      <protection hidden="1"/>
    </xf>
    <xf numFmtId="164" fontId="10" fillId="0" borderId="41" xfId="0" applyFont="1" applyBorder="1" applyProtection="1">
      <alignment vertical="top"/>
      <protection hidden="1"/>
    </xf>
    <xf numFmtId="164" fontId="10" fillId="4" borderId="27" xfId="0" applyFont="1" applyFill="1" applyBorder="1" applyProtection="1">
      <alignment vertical="top"/>
      <protection hidden="1"/>
    </xf>
    <xf numFmtId="44" fontId="7" fillId="4" borderId="41" xfId="2" applyFont="1" applyFill="1" applyBorder="1" applyAlignment="1" applyProtection="1">
      <alignment vertical="top"/>
      <protection hidden="1"/>
    </xf>
    <xf numFmtId="44" fontId="10" fillId="7" borderId="41" xfId="8" applyFont="1" applyFill="1" applyBorder="1" applyAlignment="1" applyProtection="1">
      <alignment vertical="center"/>
      <protection hidden="1"/>
    </xf>
    <xf numFmtId="44" fontId="10" fillId="9" borderId="41" xfId="8" applyFont="1" applyFill="1" applyBorder="1" applyAlignment="1" applyProtection="1">
      <alignment vertical="center"/>
      <protection hidden="1"/>
    </xf>
    <xf numFmtId="164" fontId="10" fillId="9" borderId="27" xfId="0" applyFont="1" applyFill="1" applyBorder="1" applyAlignment="1" applyProtection="1">
      <alignment horizontal="left" vertical="center" wrapText="1"/>
      <protection hidden="1"/>
    </xf>
    <xf numFmtId="164" fontId="4" fillId="6" borderId="1" xfId="0" applyFont="1" applyFill="1" applyBorder="1" applyProtection="1">
      <alignment vertical="top"/>
      <protection locked="0"/>
    </xf>
    <xf numFmtId="164" fontId="16" fillId="6" borderId="0" xfId="0" applyFont="1" applyFill="1" applyBorder="1" applyProtection="1">
      <alignment vertical="top"/>
      <protection hidden="1"/>
    </xf>
    <xf numFmtId="164" fontId="0" fillId="6" borderId="0" xfId="0" applyFill="1" applyBorder="1" applyProtection="1">
      <alignment vertical="top"/>
      <protection hidden="1"/>
    </xf>
    <xf numFmtId="164" fontId="17" fillId="0" borderId="1" xfId="0" applyFont="1" applyBorder="1" applyAlignment="1" applyProtection="1">
      <alignment vertical="top" wrapText="1"/>
      <protection hidden="1"/>
    </xf>
    <xf numFmtId="17" fontId="10" fillId="0" borderId="1" xfId="0" applyNumberFormat="1" applyFont="1" applyBorder="1" applyAlignment="1" applyProtection="1">
      <alignment horizontal="center" vertical="center"/>
      <protection hidden="1"/>
    </xf>
    <xf numFmtId="17" fontId="10" fillId="6" borderId="1" xfId="0" applyNumberFormat="1" applyFont="1" applyFill="1" applyBorder="1" applyAlignment="1" applyProtection="1">
      <alignment horizontal="center" vertical="center"/>
      <protection locked="0"/>
    </xf>
    <xf numFmtId="174" fontId="0" fillId="6" borderId="3" xfId="0" applyNumberFormat="1" applyFill="1" applyBorder="1" applyProtection="1">
      <alignment vertical="top"/>
      <protection locked="0"/>
    </xf>
    <xf numFmtId="164" fontId="7" fillId="0" borderId="42" xfId="0" applyFont="1" applyBorder="1" applyProtection="1">
      <alignment vertical="top"/>
      <protection hidden="1"/>
    </xf>
    <xf numFmtId="9" fontId="7" fillId="6" borderId="43" xfId="1" applyFont="1" applyFill="1" applyBorder="1" applyAlignment="1" applyProtection="1">
      <alignment vertical="top"/>
      <protection locked="0"/>
    </xf>
    <xf numFmtId="44" fontId="7" fillId="6" borderId="43" xfId="8" applyFont="1" applyFill="1" applyBorder="1" applyAlignment="1" applyProtection="1">
      <alignment vertical="top"/>
      <protection locked="0"/>
    </xf>
    <xf numFmtId="17" fontId="10" fillId="6" borderId="41" xfId="0" applyNumberFormat="1" applyFont="1" applyFill="1" applyBorder="1" applyAlignment="1" applyProtection="1">
      <alignment horizontal="center" vertical="center"/>
      <protection locked="0"/>
    </xf>
    <xf numFmtId="17" fontId="10" fillId="0" borderId="41" xfId="0" applyNumberFormat="1" applyFont="1" applyBorder="1" applyAlignment="1" applyProtection="1">
      <alignment horizontal="center" vertical="center"/>
      <protection hidden="1"/>
    </xf>
    <xf numFmtId="44" fontId="7" fillId="0" borderId="3" xfId="2" applyFont="1" applyFill="1" applyBorder="1" applyAlignment="1" applyProtection="1">
      <alignment vertical="top"/>
      <protection hidden="1"/>
    </xf>
    <xf numFmtId="175" fontId="0" fillId="6" borderId="1" xfId="0" applyNumberFormat="1" applyFill="1" applyBorder="1" applyProtection="1">
      <alignment vertical="top"/>
      <protection locked="0"/>
    </xf>
    <xf numFmtId="174" fontId="7" fillId="0" borderId="1" xfId="0" applyNumberFormat="1" applyFont="1" applyBorder="1" applyProtection="1">
      <alignment vertical="top"/>
      <protection hidden="1"/>
    </xf>
    <xf numFmtId="174" fontId="7" fillId="0" borderId="41" xfId="0" applyNumberFormat="1" applyFont="1" applyBorder="1" applyProtection="1">
      <alignment vertical="top"/>
      <protection hidden="1"/>
    </xf>
    <xf numFmtId="165" fontId="7" fillId="0" borderId="4" xfId="0" applyNumberFormat="1" applyFont="1" applyBorder="1" applyAlignment="1" applyProtection="1">
      <alignment horizontal="right" vertical="top"/>
      <protection hidden="1"/>
    </xf>
    <xf numFmtId="44" fontId="7" fillId="8" borderId="0" xfId="8" applyFont="1" applyFill="1" applyBorder="1" applyAlignment="1" applyProtection="1">
      <alignment vertical="top"/>
      <protection hidden="1"/>
    </xf>
    <xf numFmtId="0" fontId="12" fillId="8" borderId="29" xfId="0" applyNumberFormat="1" applyFont="1" applyFill="1" applyBorder="1" applyAlignment="1" applyProtection="1">
      <alignment horizontal="left" vertical="top" wrapText="1"/>
      <protection hidden="1"/>
    </xf>
    <xf numFmtId="0" fontId="12" fillId="8" borderId="30" xfId="0" applyNumberFormat="1" applyFont="1" applyFill="1" applyBorder="1" applyAlignment="1" applyProtection="1">
      <alignment horizontal="left" vertical="top" wrapText="1"/>
      <protection hidden="1"/>
    </xf>
    <xf numFmtId="0" fontId="12" fillId="8" borderId="25" xfId="0" applyNumberFormat="1" applyFont="1" applyFill="1" applyBorder="1" applyAlignment="1" applyProtection="1">
      <alignment horizontal="left" vertical="top" wrapText="1"/>
      <protection hidden="1"/>
    </xf>
    <xf numFmtId="0" fontId="12" fillId="8" borderId="0" xfId="0" applyNumberFormat="1" applyFont="1" applyFill="1" applyBorder="1" applyAlignment="1" applyProtection="1">
      <alignment horizontal="left" vertical="top" wrapText="1"/>
      <protection hidden="1"/>
    </xf>
    <xf numFmtId="0" fontId="12" fillId="8" borderId="26" xfId="0" applyNumberFormat="1" applyFont="1" applyFill="1" applyBorder="1" applyAlignment="1" applyProtection="1">
      <alignment horizontal="left" vertical="top" wrapText="1"/>
      <protection hidden="1"/>
    </xf>
    <xf numFmtId="0" fontId="14" fillId="8" borderId="25" xfId="0" applyNumberFormat="1" applyFont="1" applyFill="1" applyBorder="1" applyAlignment="1" applyProtection="1">
      <alignment horizontal="left" vertical="top" wrapText="1"/>
      <protection hidden="1"/>
    </xf>
    <xf numFmtId="0" fontId="14" fillId="8" borderId="0" xfId="0" applyNumberFormat="1" applyFont="1" applyFill="1" applyBorder="1" applyAlignment="1" applyProtection="1">
      <alignment horizontal="left" vertical="top" wrapText="1"/>
      <protection hidden="1"/>
    </xf>
    <xf numFmtId="0" fontId="14" fillId="8" borderId="29" xfId="0" applyNumberFormat="1" applyFont="1" applyFill="1" applyBorder="1" applyAlignment="1" applyProtection="1">
      <alignment horizontal="left" vertical="top" wrapText="1"/>
      <protection hidden="1"/>
    </xf>
    <xf numFmtId="0" fontId="14" fillId="8" borderId="30" xfId="0" applyNumberFormat="1" applyFont="1" applyFill="1" applyBorder="1" applyAlignment="1" applyProtection="1">
      <alignment horizontal="left" vertical="top" wrapText="1"/>
      <protection hidden="1"/>
    </xf>
    <xf numFmtId="0" fontId="5" fillId="0" borderId="0" xfId="0" applyNumberFormat="1" applyFont="1" applyAlignment="1" applyProtection="1">
      <alignment horizontal="left" vertical="top" wrapText="1"/>
      <protection hidden="1"/>
    </xf>
  </cellXfs>
  <cellStyles count="9">
    <cellStyle name="Currency" xfId="8" builtinId="4"/>
    <cellStyle name="Currency 2" xfId="2" xr:uid="{00000000-0005-0000-0000-000001000000}"/>
    <cellStyle name="DateLong" xfId="4" xr:uid="{00000000-0005-0000-0000-000002000000}"/>
    <cellStyle name="DateShort" xfId="5" xr:uid="{00000000-0005-0000-0000-000003000000}"/>
    <cellStyle name="Factor" xfId="6" xr:uid="{00000000-0005-0000-0000-000004000000}"/>
    <cellStyle name="Factor 2" xfId="7" xr:uid="{00000000-0005-0000-0000-000005000000}"/>
    <cellStyle name="Normal" xfId="0" builtinId="0"/>
    <cellStyle name="Percent" xfId="1" builtinId="5"/>
    <cellStyle name="Percent 2" xfId="3" xr:uid="{00000000-0005-0000-0000-000008000000}"/>
  </cellStyles>
  <dxfs count="2">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FFFFCC"/>
      <color rgb="FF0066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0</xdr:col>
      <xdr:colOff>1247775</xdr:colOff>
      <xdr:row>2</xdr:row>
      <xdr:rowOff>104006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7150" y="38100"/>
          <a:ext cx="1190625" cy="389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137585</xdr:colOff>
      <xdr:row>1</xdr:row>
      <xdr:rowOff>63501</xdr:rowOff>
    </xdr:from>
    <xdr:to>
      <xdr:col>1</xdr:col>
      <xdr:colOff>1683071</xdr:colOff>
      <xdr:row>3</xdr:row>
      <xdr:rowOff>169335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06918" y="63501"/>
          <a:ext cx="1551836" cy="5080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K37"/>
  <sheetViews>
    <sheetView tabSelected="1" workbookViewId="0">
      <selection activeCell="B6" sqref="B6"/>
    </sheetView>
  </sheetViews>
  <sheetFormatPr defaultColWidth="9.1796875" defaultRowHeight="12.5" x14ac:dyDescent="0.25"/>
  <cols>
    <col min="1" max="1" width="31.453125" style="3" customWidth="1"/>
    <col min="2" max="2" width="10.26953125" style="3" bestFit="1" customWidth="1"/>
    <col min="3" max="3" width="15.81640625" style="3" bestFit="1" customWidth="1"/>
    <col min="4" max="5" width="9.1796875" style="3"/>
    <col min="6" max="6" width="22.7265625" style="3" bestFit="1" customWidth="1"/>
    <col min="7" max="7" width="9.1796875" style="3"/>
    <col min="8" max="8" width="17.81640625" style="3" bestFit="1" customWidth="1"/>
    <col min="9" max="16384" width="9.1796875" style="3"/>
  </cols>
  <sheetData>
    <row r="1" spans="1:11" x14ac:dyDescent="0.25">
      <c r="A1" s="104"/>
      <c r="B1" s="105"/>
      <c r="C1" s="105"/>
      <c r="D1" s="105"/>
      <c r="E1" s="105"/>
      <c r="F1" s="105"/>
      <c r="G1" s="105"/>
      <c r="H1" s="105"/>
      <c r="I1" s="105"/>
      <c r="J1" s="105"/>
      <c r="K1" s="106"/>
    </row>
    <row r="2" spans="1:11" x14ac:dyDescent="0.25">
      <c r="A2" s="9"/>
      <c r="B2" s="10"/>
      <c r="C2" s="10"/>
      <c r="D2" s="10"/>
      <c r="E2" s="10"/>
      <c r="F2" s="10"/>
      <c r="G2" s="10"/>
      <c r="H2" s="10"/>
      <c r="I2" s="10"/>
      <c r="J2" s="10"/>
      <c r="K2" s="11"/>
    </row>
    <row r="3" spans="1:11" x14ac:dyDescent="0.25">
      <c r="A3" s="9"/>
      <c r="B3" s="10"/>
      <c r="C3" s="10"/>
      <c r="D3" s="10"/>
      <c r="E3" s="10"/>
      <c r="F3" s="10"/>
      <c r="G3" s="10"/>
      <c r="H3" s="10"/>
      <c r="I3" s="10"/>
      <c r="J3" s="10"/>
      <c r="K3" s="11"/>
    </row>
    <row r="4" spans="1:11" ht="13" x14ac:dyDescent="0.25">
      <c r="A4" s="101" t="s">
        <v>30</v>
      </c>
      <c r="B4" s="102"/>
      <c r="C4" s="102"/>
      <c r="D4" s="102"/>
      <c r="E4" s="102"/>
      <c r="F4" s="102"/>
      <c r="G4" s="102"/>
      <c r="H4" s="102"/>
      <c r="I4" s="102"/>
      <c r="J4" s="102"/>
      <c r="K4" s="103"/>
    </row>
    <row r="5" spans="1:11" x14ac:dyDescent="0.25">
      <c r="A5" s="9"/>
      <c r="B5" s="10"/>
      <c r="C5" s="10"/>
      <c r="D5" s="10"/>
      <c r="E5" s="10"/>
      <c r="F5" s="10"/>
      <c r="G5" s="10"/>
      <c r="H5" s="10"/>
      <c r="I5" s="10"/>
      <c r="J5" s="10"/>
      <c r="K5" s="11"/>
    </row>
    <row r="6" spans="1:11" ht="13" x14ac:dyDescent="0.25">
      <c r="A6" s="12" t="s">
        <v>8</v>
      </c>
      <c r="B6" s="27">
        <v>0</v>
      </c>
      <c r="C6" s="10"/>
      <c r="D6" s="10"/>
      <c r="E6" s="10"/>
      <c r="F6" s="116"/>
      <c r="G6" s="117" t="s">
        <v>79</v>
      </c>
      <c r="H6" s="10"/>
      <c r="I6" s="10"/>
      <c r="J6" s="10"/>
      <c r="K6" s="11"/>
    </row>
    <row r="7" spans="1:11" ht="13" x14ac:dyDescent="0.25">
      <c r="A7" s="12" t="s">
        <v>10</v>
      </c>
      <c r="B7" s="165">
        <v>0</v>
      </c>
      <c r="C7" s="10"/>
      <c r="D7" s="10"/>
      <c r="E7" s="10"/>
      <c r="F7" s="119" t="s">
        <v>74</v>
      </c>
      <c r="G7" s="121">
        <v>0</v>
      </c>
      <c r="H7" s="120" t="s">
        <v>76</v>
      </c>
      <c r="I7" s="118"/>
      <c r="J7" s="10"/>
      <c r="K7" s="11"/>
    </row>
    <row r="8" spans="1:11" ht="13" x14ac:dyDescent="0.25">
      <c r="A8" s="12" t="s">
        <v>12</v>
      </c>
      <c r="B8" s="7">
        <f>B6*0.009*(B7-4)/1.03675</f>
        <v>0</v>
      </c>
      <c r="C8" s="10"/>
      <c r="D8" s="10"/>
      <c r="E8" s="10"/>
      <c r="F8" s="119" t="s">
        <v>77</v>
      </c>
      <c r="G8" s="121">
        <v>0</v>
      </c>
      <c r="H8" s="120" t="s">
        <v>76</v>
      </c>
      <c r="I8" s="118"/>
      <c r="J8" s="10"/>
      <c r="K8" s="11"/>
    </row>
    <row r="9" spans="1:11" ht="13" x14ac:dyDescent="0.25">
      <c r="A9" s="9"/>
      <c r="B9" s="10"/>
      <c r="C9" s="10"/>
      <c r="D9" s="10"/>
      <c r="E9" s="10"/>
      <c r="F9" s="119" t="s">
        <v>70</v>
      </c>
      <c r="G9" s="121">
        <v>0</v>
      </c>
      <c r="H9" s="120" t="s">
        <v>76</v>
      </c>
      <c r="I9" s="118"/>
      <c r="J9" s="10"/>
      <c r="K9" s="11"/>
    </row>
    <row r="10" spans="1:11" ht="13" x14ac:dyDescent="0.25">
      <c r="A10" s="13" t="s">
        <v>31</v>
      </c>
      <c r="B10" s="8"/>
      <c r="C10" s="6" t="s">
        <v>2</v>
      </c>
      <c r="D10" s="10"/>
      <c r="E10" s="10"/>
      <c r="F10" s="119" t="s">
        <v>71</v>
      </c>
      <c r="G10" s="121">
        <v>0</v>
      </c>
      <c r="H10" s="120" t="s">
        <v>76</v>
      </c>
      <c r="I10" s="118"/>
      <c r="J10" s="10"/>
      <c r="K10" s="11"/>
    </row>
    <row r="11" spans="1:11" ht="13" x14ac:dyDescent="0.25">
      <c r="A11" s="14" t="s">
        <v>6</v>
      </c>
      <c r="B11" s="172">
        <v>0</v>
      </c>
      <c r="C11" s="114">
        <v>0</v>
      </c>
      <c r="D11" s="10"/>
      <c r="E11" s="10"/>
      <c r="F11" s="159" t="s">
        <v>83</v>
      </c>
      <c r="G11" s="121">
        <v>0</v>
      </c>
      <c r="H11" s="120" t="s">
        <v>76</v>
      </c>
      <c r="I11" s="10"/>
      <c r="J11" s="10"/>
      <c r="K11" s="11"/>
    </row>
    <row r="12" spans="1:11" ht="13" x14ac:dyDescent="0.25">
      <c r="A12" s="14" t="s">
        <v>7</v>
      </c>
      <c r="B12" s="172">
        <v>0</v>
      </c>
      <c r="C12" s="10"/>
      <c r="D12" s="10"/>
      <c r="E12" s="10"/>
      <c r="F12" s="118"/>
      <c r="G12" s="10"/>
      <c r="H12" s="10"/>
      <c r="I12" s="10"/>
      <c r="J12" s="10"/>
      <c r="K12" s="11"/>
    </row>
    <row r="13" spans="1:11" ht="13" x14ac:dyDescent="0.25">
      <c r="A13" s="14" t="s">
        <v>9</v>
      </c>
      <c r="B13" s="172">
        <v>0</v>
      </c>
      <c r="C13" s="10"/>
      <c r="D13" s="10"/>
      <c r="E13" s="10"/>
      <c r="F13" s="160" t="s">
        <v>80</v>
      </c>
      <c r="G13" s="161"/>
      <c r="H13" s="161"/>
      <c r="I13" s="10"/>
      <c r="J13" s="10"/>
      <c r="K13" s="11"/>
    </row>
    <row r="14" spans="1:11" x14ac:dyDescent="0.25">
      <c r="A14" s="9"/>
      <c r="B14" s="10"/>
      <c r="C14" s="10"/>
      <c r="D14" s="10"/>
      <c r="E14" s="10"/>
      <c r="F14" s="10"/>
      <c r="G14" s="10"/>
      <c r="H14" s="10"/>
      <c r="I14" s="10"/>
      <c r="J14" s="10"/>
      <c r="K14" s="11"/>
    </row>
    <row r="15" spans="1:11" ht="13" x14ac:dyDescent="0.25">
      <c r="A15" s="14" t="s">
        <v>32</v>
      </c>
      <c r="B15" s="172">
        <v>0</v>
      </c>
      <c r="C15" s="10"/>
      <c r="D15" s="10"/>
      <c r="E15" s="10"/>
      <c r="F15" s="118" t="s">
        <v>78</v>
      </c>
      <c r="G15" s="10"/>
      <c r="H15" s="10"/>
      <c r="I15" s="10"/>
      <c r="J15" s="10"/>
      <c r="K15" s="11"/>
    </row>
    <row r="16" spans="1:11" x14ac:dyDescent="0.25">
      <c r="A16" s="9"/>
      <c r="B16" s="10"/>
      <c r="C16" s="10"/>
      <c r="D16" s="10"/>
      <c r="E16" s="10"/>
      <c r="F16" s="10"/>
      <c r="G16" s="10"/>
      <c r="H16" s="10"/>
      <c r="I16" s="10"/>
      <c r="J16" s="10"/>
      <c r="K16" s="11"/>
    </row>
    <row r="17" spans="1:11" x14ac:dyDescent="0.25">
      <c r="A17" s="9"/>
      <c r="B17" s="10"/>
      <c r="C17" s="10"/>
      <c r="D17" s="10"/>
      <c r="E17" s="10"/>
      <c r="F17" s="10"/>
      <c r="G17" s="10"/>
      <c r="H17" s="10"/>
      <c r="I17" s="10"/>
      <c r="J17" s="10"/>
      <c r="K17" s="11"/>
    </row>
    <row r="18" spans="1:11" x14ac:dyDescent="0.25">
      <c r="A18" s="9"/>
      <c r="B18" s="10"/>
      <c r="C18" s="10"/>
      <c r="D18" s="10"/>
      <c r="E18" s="10"/>
      <c r="F18" s="10"/>
      <c r="G18" s="10"/>
      <c r="H18" s="10"/>
      <c r="I18" s="10"/>
      <c r="J18" s="10"/>
      <c r="K18" s="11"/>
    </row>
    <row r="19" spans="1:11" x14ac:dyDescent="0.25">
      <c r="A19" s="9"/>
      <c r="B19" s="10"/>
      <c r="C19" s="10"/>
      <c r="D19" s="10"/>
      <c r="E19" s="10"/>
      <c r="F19" s="10"/>
      <c r="G19" s="10"/>
      <c r="H19" s="10"/>
      <c r="I19" s="10"/>
      <c r="J19" s="10"/>
      <c r="K19" s="11"/>
    </row>
    <row r="20" spans="1:11" s="4" customFormat="1" ht="12" x14ac:dyDescent="0.25">
      <c r="A20" s="15" t="s">
        <v>55</v>
      </c>
      <c r="B20" s="16"/>
      <c r="C20" s="16"/>
      <c r="D20" s="16"/>
      <c r="E20" s="16"/>
      <c r="F20" s="16"/>
      <c r="G20" s="16"/>
      <c r="H20" s="16"/>
      <c r="I20" s="16"/>
      <c r="J20" s="16"/>
      <c r="K20" s="17"/>
    </row>
    <row r="21" spans="1:11" s="4" customFormat="1" ht="12" x14ac:dyDescent="0.25">
      <c r="A21" s="179" t="s">
        <v>56</v>
      </c>
      <c r="B21" s="180"/>
      <c r="C21" s="180"/>
      <c r="D21" s="180"/>
      <c r="E21" s="180"/>
      <c r="F21" s="180"/>
      <c r="G21" s="180"/>
      <c r="H21" s="180"/>
      <c r="I21" s="180"/>
      <c r="J21" s="180"/>
      <c r="K21" s="181"/>
    </row>
    <row r="22" spans="1:11" s="4" customFormat="1" ht="12" x14ac:dyDescent="0.25">
      <c r="A22" s="179"/>
      <c r="B22" s="180"/>
      <c r="C22" s="180"/>
      <c r="D22" s="180"/>
      <c r="E22" s="180"/>
      <c r="F22" s="180"/>
      <c r="G22" s="180"/>
      <c r="H22" s="180"/>
      <c r="I22" s="180"/>
      <c r="J22" s="180"/>
      <c r="K22" s="181"/>
    </row>
    <row r="23" spans="1:11" s="4" customFormat="1" ht="15" customHeight="1" x14ac:dyDescent="0.25">
      <c r="A23" s="179" t="s">
        <v>57</v>
      </c>
      <c r="B23" s="180"/>
      <c r="C23" s="180"/>
      <c r="D23" s="180"/>
      <c r="E23" s="180"/>
      <c r="F23" s="180"/>
      <c r="G23" s="180"/>
      <c r="H23" s="180"/>
      <c r="I23" s="180"/>
      <c r="J23" s="180"/>
      <c r="K23" s="181"/>
    </row>
    <row r="24" spans="1:11" s="4" customFormat="1" ht="12" x14ac:dyDescent="0.25">
      <c r="A24" s="179"/>
      <c r="B24" s="180"/>
      <c r="C24" s="180"/>
      <c r="D24" s="180"/>
      <c r="E24" s="180"/>
      <c r="F24" s="180"/>
      <c r="G24" s="180"/>
      <c r="H24" s="180"/>
      <c r="I24" s="180"/>
      <c r="J24" s="180"/>
      <c r="K24" s="181"/>
    </row>
    <row r="25" spans="1:11" s="4" customFormat="1" ht="12" x14ac:dyDescent="0.25">
      <c r="A25" s="15" t="s">
        <v>58</v>
      </c>
      <c r="B25" s="16"/>
      <c r="C25" s="16"/>
      <c r="D25" s="16"/>
      <c r="E25" s="16"/>
      <c r="F25" s="16"/>
      <c r="G25" s="16"/>
      <c r="H25" s="16"/>
      <c r="I25" s="16"/>
      <c r="J25" s="16"/>
      <c r="K25" s="17"/>
    </row>
    <row r="26" spans="1:11" s="4" customFormat="1" ht="15" customHeight="1" x14ac:dyDescent="0.25">
      <c r="A26" s="179" t="s">
        <v>59</v>
      </c>
      <c r="B26" s="180"/>
      <c r="C26" s="180"/>
      <c r="D26" s="180"/>
      <c r="E26" s="180"/>
      <c r="F26" s="180"/>
      <c r="G26" s="180"/>
      <c r="H26" s="180"/>
      <c r="I26" s="180"/>
      <c r="J26" s="180"/>
      <c r="K26" s="17"/>
    </row>
    <row r="27" spans="1:11" s="4" customFormat="1" ht="12" x14ac:dyDescent="0.25">
      <c r="A27" s="179"/>
      <c r="B27" s="180"/>
      <c r="C27" s="180"/>
      <c r="D27" s="180"/>
      <c r="E27" s="180"/>
      <c r="F27" s="180"/>
      <c r="G27" s="180"/>
      <c r="H27" s="180"/>
      <c r="I27" s="180"/>
      <c r="J27" s="180"/>
      <c r="K27" s="17"/>
    </row>
    <row r="28" spans="1:11" s="4" customFormat="1" ht="12" x14ac:dyDescent="0.25">
      <c r="A28" s="179"/>
      <c r="B28" s="180"/>
      <c r="C28" s="180"/>
      <c r="D28" s="180"/>
      <c r="E28" s="180"/>
      <c r="F28" s="180"/>
      <c r="G28" s="180"/>
      <c r="H28" s="180"/>
      <c r="I28" s="180"/>
      <c r="J28" s="180"/>
      <c r="K28" s="17"/>
    </row>
    <row r="29" spans="1:11" s="4" customFormat="1" ht="12" x14ac:dyDescent="0.25">
      <c r="A29" s="15" t="s">
        <v>60</v>
      </c>
      <c r="B29" s="16"/>
      <c r="C29" s="16"/>
      <c r="D29" s="16"/>
      <c r="E29" s="16"/>
      <c r="F29" s="16"/>
      <c r="G29" s="16"/>
      <c r="H29" s="16"/>
      <c r="I29" s="16"/>
      <c r="J29" s="16"/>
      <c r="K29" s="17"/>
    </row>
    <row r="30" spans="1:11" s="4" customFormat="1" ht="12" x14ac:dyDescent="0.25">
      <c r="A30" s="15" t="s">
        <v>61</v>
      </c>
      <c r="B30" s="16"/>
      <c r="C30" s="16"/>
      <c r="D30" s="16"/>
      <c r="E30" s="16"/>
      <c r="F30" s="16"/>
      <c r="G30" s="16"/>
      <c r="H30" s="16"/>
      <c r="I30" s="16"/>
      <c r="J30" s="16"/>
      <c r="K30" s="17"/>
    </row>
    <row r="31" spans="1:11" s="4" customFormat="1" ht="12" x14ac:dyDescent="0.25">
      <c r="A31" s="15" t="s">
        <v>62</v>
      </c>
      <c r="B31" s="16"/>
      <c r="C31" s="16"/>
      <c r="D31" s="16"/>
      <c r="E31" s="16"/>
      <c r="F31" s="16"/>
      <c r="G31" s="16"/>
      <c r="H31" s="16"/>
      <c r="I31" s="16"/>
      <c r="J31" s="16"/>
      <c r="K31" s="17"/>
    </row>
    <row r="32" spans="1:11" s="4" customFormat="1" ht="15" customHeight="1" x14ac:dyDescent="0.25">
      <c r="A32" s="179" t="s">
        <v>63</v>
      </c>
      <c r="B32" s="180"/>
      <c r="C32" s="180"/>
      <c r="D32" s="180"/>
      <c r="E32" s="180"/>
      <c r="F32" s="180"/>
      <c r="G32" s="180"/>
      <c r="H32" s="180"/>
      <c r="I32" s="180"/>
      <c r="J32" s="180"/>
      <c r="K32" s="17"/>
    </row>
    <row r="33" spans="1:11" s="4" customFormat="1" ht="12" x14ac:dyDescent="0.25">
      <c r="A33" s="179"/>
      <c r="B33" s="180"/>
      <c r="C33" s="180"/>
      <c r="D33" s="180"/>
      <c r="E33" s="180"/>
      <c r="F33" s="180"/>
      <c r="G33" s="180"/>
      <c r="H33" s="180"/>
      <c r="I33" s="180"/>
      <c r="J33" s="180"/>
      <c r="K33" s="17"/>
    </row>
    <row r="34" spans="1:11" s="5" customFormat="1" ht="12" x14ac:dyDescent="0.25">
      <c r="A34" s="18"/>
      <c r="B34" s="19"/>
      <c r="C34" s="19"/>
      <c r="D34" s="19"/>
      <c r="E34" s="19"/>
      <c r="F34" s="19"/>
      <c r="G34" s="19"/>
      <c r="H34" s="19"/>
      <c r="I34" s="19"/>
      <c r="J34" s="19"/>
      <c r="K34" s="20"/>
    </row>
    <row r="35" spans="1:11" s="4" customFormat="1" ht="12" x14ac:dyDescent="0.25">
      <c r="A35" s="179" t="s">
        <v>90</v>
      </c>
      <c r="B35" s="180"/>
      <c r="C35" s="180"/>
      <c r="D35" s="180"/>
      <c r="E35" s="180"/>
      <c r="F35" s="180"/>
      <c r="G35" s="180"/>
      <c r="H35" s="180"/>
      <c r="I35" s="180"/>
      <c r="J35" s="180"/>
      <c r="K35" s="17"/>
    </row>
    <row r="36" spans="1:11" s="4" customFormat="1" thickBot="1" x14ac:dyDescent="0.3">
      <c r="A36" s="177" t="s">
        <v>65</v>
      </c>
      <c r="B36" s="178"/>
      <c r="C36" s="178"/>
      <c r="D36" s="178"/>
      <c r="E36" s="178"/>
      <c r="F36" s="178"/>
      <c r="G36" s="178"/>
      <c r="H36" s="178"/>
      <c r="I36" s="178"/>
      <c r="J36" s="178"/>
      <c r="K36" s="21"/>
    </row>
    <row r="37" spans="1:11" s="5" customFormat="1" ht="12" x14ac:dyDescent="0.25"/>
  </sheetData>
  <sheetProtection algorithmName="SHA-512" hashValue="0QR9vJTtxRf4HRdV4CYAhDXvBZjYaSjju3hp+sToQq/z/TIM1R0ddMcwhsStKU9l09KTZgDtZBIkycFng75Nrw==" saltValue="pvDCbxdpYcW4dzNnucfBWQ==" spinCount="100000" sheet="1" selectLockedCells="1"/>
  <mergeCells count="6">
    <mergeCell ref="A36:J36"/>
    <mergeCell ref="A21:K22"/>
    <mergeCell ref="A23:K24"/>
    <mergeCell ref="A26:J28"/>
    <mergeCell ref="A32:J33"/>
    <mergeCell ref="A35:J3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66"/>
    <pageSetUpPr fitToPage="1"/>
  </sheetPr>
  <dimension ref="B1:BD106"/>
  <sheetViews>
    <sheetView zoomScale="85" zoomScaleNormal="85" workbookViewId="0">
      <selection activeCell="H10" sqref="H10"/>
    </sheetView>
  </sheetViews>
  <sheetFormatPr defaultColWidth="9.1796875" defaultRowHeight="15.5" x14ac:dyDescent="0.25"/>
  <cols>
    <col min="1" max="1" width="2.54296875" style="30" customWidth="1"/>
    <col min="2" max="2" width="33.453125" style="30" customWidth="1"/>
    <col min="3" max="3" width="16.7265625" style="30" customWidth="1"/>
    <col min="4" max="17" width="22.54296875" style="30" customWidth="1"/>
    <col min="18" max="18" width="9.26953125" style="30" bestFit="1" customWidth="1"/>
    <col min="19" max="19" width="10.1796875" style="30" hidden="1" customWidth="1"/>
    <col min="20" max="20" width="11.1796875" style="30" hidden="1" customWidth="1"/>
    <col min="21" max="21" width="10.1796875" style="30" hidden="1" customWidth="1"/>
    <col min="22" max="23" width="9.26953125" style="30" hidden="1" customWidth="1"/>
    <col min="24" max="26" width="10.1796875" style="30" hidden="1" customWidth="1"/>
    <col min="27" max="27" width="9.26953125" style="30" hidden="1" customWidth="1"/>
    <col min="28" max="30" width="10.1796875" style="30" bestFit="1" customWidth="1"/>
    <col min="31" max="31" width="9.26953125" style="30" bestFit="1" customWidth="1"/>
    <col min="32" max="34" width="10.1796875" style="30" bestFit="1" customWidth="1"/>
    <col min="35" max="40" width="9.54296875" style="30" bestFit="1" customWidth="1"/>
    <col min="41" max="16384" width="9.1796875" style="30"/>
  </cols>
  <sheetData>
    <row r="1" spans="2:56" ht="16" thickBot="1" x14ac:dyDescent="0.3"/>
    <row r="2" spans="2:56" x14ac:dyDescent="0.25">
      <c r="B2" s="110"/>
      <c r="C2" s="111"/>
      <c r="D2" s="111"/>
      <c r="E2" s="111"/>
      <c r="F2" s="111"/>
      <c r="G2" s="111"/>
      <c r="H2" s="111"/>
      <c r="I2" s="111"/>
      <c r="J2" s="111"/>
      <c r="K2" s="111"/>
      <c r="L2" s="111"/>
      <c r="M2" s="111"/>
      <c r="N2" s="111"/>
      <c r="O2" s="111"/>
      <c r="P2" s="111"/>
      <c r="Q2" s="112"/>
    </row>
    <row r="3" spans="2:56" x14ac:dyDescent="0.25">
      <c r="B3" s="60"/>
      <c r="C3" s="40"/>
      <c r="D3" s="40"/>
      <c r="E3" s="40"/>
      <c r="F3" s="40"/>
      <c r="G3" s="40"/>
      <c r="H3" s="40"/>
      <c r="I3" s="40"/>
      <c r="J3" s="40"/>
      <c r="K3" s="40"/>
      <c r="L3" s="40"/>
      <c r="M3" s="40"/>
      <c r="N3" s="40"/>
      <c r="O3" s="40"/>
      <c r="P3" s="40"/>
      <c r="Q3" s="41"/>
    </row>
    <row r="4" spans="2:56" x14ac:dyDescent="0.25">
      <c r="B4" s="60"/>
      <c r="C4" s="40"/>
      <c r="D4" s="40"/>
      <c r="E4" s="40"/>
      <c r="F4" s="40"/>
      <c r="G4" s="40"/>
      <c r="H4" s="40"/>
      <c r="I4" s="40"/>
      <c r="J4" s="40"/>
      <c r="K4" s="40"/>
      <c r="L4" s="40"/>
      <c r="M4" s="40"/>
      <c r="N4" s="40"/>
      <c r="O4" s="40"/>
      <c r="P4" s="40"/>
      <c r="Q4" s="41"/>
    </row>
    <row r="5" spans="2:56" ht="18.5" x14ac:dyDescent="0.25">
      <c r="B5" s="107" t="s">
        <v>66</v>
      </c>
      <c r="C5" s="108"/>
      <c r="D5" s="108"/>
      <c r="E5" s="108"/>
      <c r="F5" s="108"/>
      <c r="G5" s="108"/>
      <c r="H5" s="108"/>
      <c r="I5" s="108"/>
      <c r="J5" s="108"/>
      <c r="K5" s="108"/>
      <c r="L5" s="108"/>
      <c r="M5" s="108"/>
      <c r="N5" s="108"/>
      <c r="O5" s="108"/>
      <c r="P5" s="108"/>
      <c r="Q5" s="109"/>
      <c r="R5" s="29"/>
      <c r="S5" s="29"/>
      <c r="T5" s="29"/>
      <c r="U5" s="29"/>
      <c r="V5" s="29"/>
      <c r="W5" s="29"/>
      <c r="X5" s="29"/>
      <c r="Y5" s="29"/>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9"/>
    </row>
    <row r="6" spans="2:56" ht="9" customHeight="1" x14ac:dyDescent="0.25">
      <c r="B6" s="31"/>
      <c r="C6" s="32"/>
      <c r="D6" s="32"/>
      <c r="E6" s="32"/>
      <c r="F6" s="32"/>
      <c r="G6" s="32"/>
      <c r="H6" s="32"/>
      <c r="I6" s="32"/>
      <c r="J6" s="32"/>
      <c r="K6" s="32"/>
      <c r="L6" s="32"/>
      <c r="M6" s="32"/>
      <c r="N6" s="32"/>
      <c r="O6" s="32"/>
      <c r="P6" s="32"/>
      <c r="Q6" s="33"/>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row>
    <row r="7" spans="2:56" ht="65.25" customHeight="1" x14ac:dyDescent="0.25">
      <c r="B7" s="34" t="s">
        <v>47</v>
      </c>
      <c r="C7" s="35" t="s">
        <v>3</v>
      </c>
      <c r="D7" s="36" t="s">
        <v>1</v>
      </c>
      <c r="E7" s="37" t="s">
        <v>44</v>
      </c>
      <c r="F7" s="38" t="s">
        <v>45</v>
      </c>
      <c r="G7" s="38" t="s">
        <v>2</v>
      </c>
      <c r="H7" s="38" t="s">
        <v>51</v>
      </c>
      <c r="I7" s="38" t="s">
        <v>48</v>
      </c>
      <c r="J7" s="37" t="s">
        <v>33</v>
      </c>
      <c r="K7" s="37" t="s">
        <v>34</v>
      </c>
      <c r="L7" s="39" t="s">
        <v>35</v>
      </c>
      <c r="M7" s="40"/>
      <c r="N7" s="40"/>
      <c r="O7" s="40"/>
      <c r="P7" s="40"/>
      <c r="Q7" s="41"/>
      <c r="R7" s="29"/>
      <c r="S7" s="50"/>
      <c r="T7" s="50"/>
      <c r="U7" s="50"/>
      <c r="V7" s="50"/>
      <c r="W7" s="50"/>
      <c r="X7" s="50"/>
      <c r="Y7" s="50"/>
      <c r="Z7" s="50"/>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row>
    <row r="8" spans="2:56" x14ac:dyDescent="0.25">
      <c r="B8" s="113" t="s">
        <v>49</v>
      </c>
      <c r="C8" s="42" t="str">
        <f t="shared" ref="C8:C14" si="0">IF(OR(B8="NO",B8="Not Applicable"),"","Yes")</f>
        <v/>
      </c>
      <c r="D8" s="43" t="s">
        <v>6</v>
      </c>
      <c r="E8" s="44">
        <f>Inputs!B8*Inputs!C11</f>
        <v>0</v>
      </c>
      <c r="F8" s="45">
        <f>E8*K8</f>
        <v>0</v>
      </c>
      <c r="G8" s="46" t="e">
        <f>E8/Inputs!B8</f>
        <v>#DIV/0!</v>
      </c>
      <c r="H8" s="47">
        <f>Inputs!B11</f>
        <v>0</v>
      </c>
      <c r="I8" s="98">
        <v>0</v>
      </c>
      <c r="J8" s="47">
        <f t="shared" ref="J8:J14" si="1">SUM(H8:I8)</f>
        <v>0</v>
      </c>
      <c r="K8" s="48">
        <v>1.0367500000000001</v>
      </c>
      <c r="L8" s="49">
        <f>J8/K8</f>
        <v>0</v>
      </c>
      <c r="M8" s="40"/>
      <c r="N8" s="40"/>
      <c r="O8" s="40"/>
      <c r="P8" s="40"/>
      <c r="Q8" s="41"/>
      <c r="R8" s="29"/>
      <c r="S8" s="50"/>
      <c r="T8" s="51">
        <v>0</v>
      </c>
      <c r="U8" s="50"/>
      <c r="V8" s="51">
        <v>0.5</v>
      </c>
      <c r="W8" s="50"/>
      <c r="X8" s="50"/>
      <c r="Y8" s="50"/>
      <c r="Z8" s="50"/>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row>
    <row r="9" spans="2:56" x14ac:dyDescent="0.25">
      <c r="B9" s="113" t="s">
        <v>49</v>
      </c>
      <c r="C9" s="42" t="str">
        <f t="shared" si="0"/>
        <v/>
      </c>
      <c r="D9" s="43" t="s">
        <v>88</v>
      </c>
      <c r="E9" s="97">
        <v>0</v>
      </c>
      <c r="F9" s="45">
        <f t="shared" ref="F9:F13" si="2">E9*K9</f>
        <v>0</v>
      </c>
      <c r="G9" s="46" t="e">
        <f>E9/Inputs!$B$8</f>
        <v>#DIV/0!</v>
      </c>
      <c r="H9" s="98">
        <v>0</v>
      </c>
      <c r="I9" s="98">
        <v>0</v>
      </c>
      <c r="J9" s="47">
        <f t="shared" si="1"/>
        <v>0</v>
      </c>
      <c r="K9" s="48">
        <v>1.0367500000000001</v>
      </c>
      <c r="L9" s="49">
        <f t="shared" ref="L9:L10" si="3">J9/K9</f>
        <v>0</v>
      </c>
      <c r="M9" s="40"/>
      <c r="N9" s="40"/>
      <c r="O9" s="40"/>
      <c r="P9" s="40"/>
      <c r="Q9" s="41"/>
      <c r="R9" s="29"/>
      <c r="S9" s="50" t="s">
        <v>0</v>
      </c>
      <c r="T9" s="51">
        <v>0.1</v>
      </c>
      <c r="U9" s="50"/>
      <c r="V9" s="51">
        <v>1</v>
      </c>
      <c r="W9" s="50"/>
      <c r="X9" s="50"/>
      <c r="Y9" s="50"/>
      <c r="Z9" s="50">
        <v>5</v>
      </c>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row>
    <row r="10" spans="2:56" x14ac:dyDescent="0.25">
      <c r="B10" s="113" t="s">
        <v>49</v>
      </c>
      <c r="C10" s="42" t="str">
        <f t="shared" si="0"/>
        <v/>
      </c>
      <c r="D10" s="43" t="s">
        <v>89</v>
      </c>
      <c r="E10" s="97">
        <v>0</v>
      </c>
      <c r="F10" s="45">
        <f t="shared" si="2"/>
        <v>0</v>
      </c>
      <c r="G10" s="46" t="e">
        <f>E10/Inputs!$B$8</f>
        <v>#DIV/0!</v>
      </c>
      <c r="H10" s="98">
        <v>0</v>
      </c>
      <c r="I10" s="98">
        <v>0</v>
      </c>
      <c r="J10" s="47">
        <f t="shared" si="1"/>
        <v>0</v>
      </c>
      <c r="K10" s="48">
        <v>1.0367500000000001</v>
      </c>
      <c r="L10" s="49">
        <f t="shared" si="3"/>
        <v>0</v>
      </c>
      <c r="M10" s="40"/>
      <c r="N10" s="40"/>
      <c r="O10" s="40"/>
      <c r="P10" s="40"/>
      <c r="Q10" s="41"/>
      <c r="R10" s="29"/>
      <c r="S10" s="50" t="s">
        <v>4</v>
      </c>
      <c r="T10" s="51">
        <v>0.2</v>
      </c>
      <c r="U10" s="50"/>
      <c r="V10" s="50"/>
      <c r="W10" s="50"/>
      <c r="X10" s="50"/>
      <c r="Y10" s="50"/>
      <c r="Z10" s="50">
        <v>6</v>
      </c>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row>
    <row r="11" spans="2:56" x14ac:dyDescent="0.25">
      <c r="B11" s="96" t="s">
        <v>4</v>
      </c>
      <c r="C11" s="42" t="str">
        <f t="shared" si="0"/>
        <v/>
      </c>
      <c r="D11" s="43" t="s">
        <v>5</v>
      </c>
      <c r="E11" s="97">
        <v>0</v>
      </c>
      <c r="F11" s="45">
        <f t="shared" si="2"/>
        <v>0</v>
      </c>
      <c r="G11" s="46" t="e">
        <f>E11/Inputs!$B$8</f>
        <v>#DIV/0!</v>
      </c>
      <c r="H11" s="98">
        <v>0</v>
      </c>
      <c r="I11" s="98">
        <v>0</v>
      </c>
      <c r="J11" s="47">
        <f t="shared" si="1"/>
        <v>0</v>
      </c>
      <c r="K11" s="48">
        <v>1.0367500000000001</v>
      </c>
      <c r="L11" s="49">
        <f>J11/K11</f>
        <v>0</v>
      </c>
      <c r="M11" s="40"/>
      <c r="N11" s="40"/>
      <c r="O11" s="40"/>
      <c r="P11" s="40"/>
      <c r="Q11" s="41"/>
      <c r="R11" s="29"/>
      <c r="S11" s="50" t="s">
        <v>49</v>
      </c>
      <c r="T11" s="51">
        <v>0.3</v>
      </c>
      <c r="U11" s="50"/>
      <c r="V11" s="50"/>
      <c r="W11" s="50"/>
      <c r="X11" s="50"/>
      <c r="Y11" s="50"/>
      <c r="Z11" s="50">
        <v>7</v>
      </c>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row>
    <row r="12" spans="2:56" x14ac:dyDescent="0.25">
      <c r="B12" s="96" t="s">
        <v>4</v>
      </c>
      <c r="C12" s="42" t="str">
        <f t="shared" si="0"/>
        <v/>
      </c>
      <c r="D12" s="43" t="s">
        <v>84</v>
      </c>
      <c r="E12" s="97">
        <v>0</v>
      </c>
      <c r="F12" s="45">
        <f t="shared" si="2"/>
        <v>0</v>
      </c>
      <c r="G12" s="46" t="e">
        <f>E12/Inputs!$B$8</f>
        <v>#DIV/0!</v>
      </c>
      <c r="H12" s="171">
        <f>Inputs!B15</f>
        <v>0</v>
      </c>
      <c r="I12" s="171">
        <v>0</v>
      </c>
      <c r="J12" s="47">
        <f t="shared" si="1"/>
        <v>0</v>
      </c>
      <c r="K12" s="48">
        <v>1.0367500000000001</v>
      </c>
      <c r="L12" s="49">
        <f>J12/K12</f>
        <v>0</v>
      </c>
      <c r="M12" s="40"/>
      <c r="N12" s="40"/>
      <c r="O12" s="40"/>
      <c r="P12" s="40"/>
      <c r="Q12" s="41"/>
      <c r="R12" s="29"/>
      <c r="S12" s="50"/>
      <c r="T12" s="51">
        <v>0.4</v>
      </c>
      <c r="U12" s="50"/>
      <c r="V12" s="50"/>
      <c r="W12" s="50"/>
      <c r="X12" s="50"/>
      <c r="Y12" s="50"/>
      <c r="Z12" s="50">
        <v>8</v>
      </c>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row>
    <row r="13" spans="2:56" x14ac:dyDescent="0.25">
      <c r="B13" s="113" t="s">
        <v>49</v>
      </c>
      <c r="C13" s="42" t="str">
        <f t="shared" si="0"/>
        <v/>
      </c>
      <c r="D13" s="43" t="s">
        <v>7</v>
      </c>
      <c r="E13" s="97">
        <v>0</v>
      </c>
      <c r="F13" s="45">
        <f t="shared" si="2"/>
        <v>0</v>
      </c>
      <c r="G13" s="46" t="e">
        <f>E13/Inputs!$B$8</f>
        <v>#DIV/0!</v>
      </c>
      <c r="H13" s="47">
        <f>Inputs!B12</f>
        <v>0</v>
      </c>
      <c r="I13" s="98">
        <v>0</v>
      </c>
      <c r="J13" s="47">
        <f t="shared" si="1"/>
        <v>0</v>
      </c>
      <c r="K13" s="48">
        <v>1.0367500000000001</v>
      </c>
      <c r="L13" s="49">
        <f>J13/K13</f>
        <v>0</v>
      </c>
      <c r="M13" s="40"/>
      <c r="N13" s="40"/>
      <c r="O13" s="40"/>
      <c r="P13" s="40"/>
      <c r="Q13" s="41"/>
      <c r="R13" s="29"/>
      <c r="S13" s="50"/>
      <c r="T13" s="51">
        <v>0.5</v>
      </c>
      <c r="U13" s="50"/>
      <c r="V13" s="50"/>
      <c r="W13" s="50"/>
      <c r="X13" s="50"/>
      <c r="Y13" s="50"/>
      <c r="Z13" s="50">
        <v>9</v>
      </c>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row>
    <row r="14" spans="2:56" x14ac:dyDescent="0.25">
      <c r="B14" s="113" t="s">
        <v>49</v>
      </c>
      <c r="C14" s="42" t="str">
        <f t="shared" si="0"/>
        <v/>
      </c>
      <c r="D14" s="43" t="s">
        <v>9</v>
      </c>
      <c r="E14" s="175">
        <f>IF(Inputs!B8-SUM(E8:E13)&lt;0,"OVERPRICED",Inputs!B8-SUM(E8:E13))</f>
        <v>0</v>
      </c>
      <c r="F14" s="45">
        <f>E14*K14</f>
        <v>0</v>
      </c>
      <c r="G14" s="46" t="e">
        <f>E14/Inputs!$B$8</f>
        <v>#DIV/0!</v>
      </c>
      <c r="H14" s="47">
        <f>Inputs!B13</f>
        <v>0</v>
      </c>
      <c r="I14" s="98">
        <v>0</v>
      </c>
      <c r="J14" s="47">
        <f t="shared" si="1"/>
        <v>0</v>
      </c>
      <c r="K14" s="48">
        <v>1.0367500000000001</v>
      </c>
      <c r="L14" s="49">
        <f>J14/K14</f>
        <v>0</v>
      </c>
      <c r="M14" s="40"/>
      <c r="N14" s="40"/>
      <c r="O14" s="40"/>
      <c r="P14" s="40"/>
      <c r="Q14" s="41"/>
      <c r="R14" s="29"/>
      <c r="S14" s="50"/>
      <c r="T14" s="51">
        <v>0.6</v>
      </c>
      <c r="U14" s="50"/>
      <c r="V14" s="50"/>
      <c r="W14" s="50"/>
      <c r="X14" s="50"/>
      <c r="Y14" s="50"/>
      <c r="Z14" s="50">
        <v>10</v>
      </c>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row>
    <row r="15" spans="2:56" x14ac:dyDescent="0.25">
      <c r="B15" s="52"/>
      <c r="C15" s="53"/>
      <c r="D15" s="54" t="s">
        <v>11</v>
      </c>
      <c r="E15" s="55">
        <f>SUM(E8:E14)</f>
        <v>0</v>
      </c>
      <c r="F15" s="56">
        <f>SUM(F8:F14)</f>
        <v>0</v>
      </c>
      <c r="G15" s="57"/>
      <c r="H15" s="57"/>
      <c r="I15" s="58"/>
      <c r="J15" s="58" t="e">
        <f>SUMPRODUCT(E8:E14,J8:J14)/E15</f>
        <v>#DIV/0!</v>
      </c>
      <c r="K15" s="57"/>
      <c r="L15" s="59" t="e">
        <f>SUMPRODUCT(F8:F14,L8:L14)/F15</f>
        <v>#DIV/0!</v>
      </c>
      <c r="M15" s="176"/>
      <c r="N15" s="40"/>
      <c r="O15" s="40"/>
      <c r="P15" s="40"/>
      <c r="Q15" s="41"/>
      <c r="R15" s="29"/>
      <c r="S15" s="50"/>
      <c r="T15" s="51">
        <v>0.7</v>
      </c>
      <c r="U15" s="50"/>
      <c r="V15" s="50"/>
      <c r="W15" s="50"/>
      <c r="X15" s="50"/>
      <c r="Y15" s="50"/>
      <c r="Z15" s="50"/>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row>
    <row r="16" spans="2:56" x14ac:dyDescent="0.25">
      <c r="B16" s="60"/>
      <c r="C16" s="40"/>
      <c r="D16" s="40"/>
      <c r="E16" s="40" t="str">
        <f>IF(E14="OVERPRICED", Inputs!B8-SUM('Future Season Forecast'!E8:E13),"")</f>
        <v/>
      </c>
      <c r="F16" s="61"/>
      <c r="G16" s="40"/>
      <c r="H16" s="40"/>
      <c r="I16" s="40"/>
      <c r="J16" s="40">
        <f>SUMPRODUCT(E8:E14,J8:J14)</f>
        <v>0</v>
      </c>
      <c r="K16" s="40"/>
      <c r="L16" s="40">
        <f>SUMPRODUCT(F8:F14,L8:L14)</f>
        <v>0</v>
      </c>
      <c r="M16" s="40"/>
      <c r="N16" s="62"/>
      <c r="O16" s="40"/>
      <c r="P16" s="40"/>
      <c r="Q16" s="41"/>
      <c r="R16" s="29"/>
      <c r="S16" s="50"/>
      <c r="T16" s="63">
        <v>0.8</v>
      </c>
      <c r="U16" s="50"/>
      <c r="V16" s="50"/>
      <c r="W16" s="50"/>
      <c r="X16" s="51">
        <v>0.9</v>
      </c>
      <c r="Y16" s="50"/>
      <c r="Z16" s="50"/>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row>
    <row r="17" spans="2:56" x14ac:dyDescent="0.25">
      <c r="B17" s="64" t="s">
        <v>36</v>
      </c>
      <c r="C17" s="65" t="s">
        <v>28</v>
      </c>
      <c r="D17" s="66" t="s">
        <v>29</v>
      </c>
      <c r="E17" s="40"/>
      <c r="F17" s="40"/>
      <c r="G17" s="40"/>
      <c r="H17" s="40"/>
      <c r="I17" s="40"/>
      <c r="J17" s="40"/>
      <c r="K17" s="40"/>
      <c r="L17" s="40"/>
      <c r="M17" s="40"/>
      <c r="N17" s="62"/>
      <c r="O17" s="40"/>
      <c r="P17" s="40"/>
      <c r="Q17" s="41"/>
      <c r="R17" s="29"/>
      <c r="S17" s="50"/>
      <c r="T17" s="63">
        <v>0.9</v>
      </c>
      <c r="U17" s="50"/>
      <c r="V17" s="50"/>
      <c r="W17" s="50"/>
      <c r="X17" s="51">
        <v>1</v>
      </c>
      <c r="Y17" s="50"/>
      <c r="Z17" s="50"/>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row>
    <row r="18" spans="2:56" x14ac:dyDescent="0.25">
      <c r="B18" s="67" t="s">
        <v>46</v>
      </c>
      <c r="C18" s="68">
        <f>SUMIF(B9:B12,"Yes",F9:F12)</f>
        <v>0</v>
      </c>
      <c r="D18" s="69">
        <f>F15-C18</f>
        <v>0</v>
      </c>
      <c r="E18" s="40"/>
      <c r="F18" s="40"/>
      <c r="G18" s="40"/>
      <c r="H18" s="40"/>
      <c r="I18" s="40"/>
      <c r="J18" s="40"/>
      <c r="K18" s="40"/>
      <c r="L18" s="40"/>
      <c r="M18" s="40"/>
      <c r="N18" s="62"/>
      <c r="O18" s="40"/>
      <c r="P18" s="40"/>
      <c r="Q18" s="41"/>
      <c r="R18" s="29"/>
      <c r="S18" s="50"/>
      <c r="T18" s="63">
        <v>1</v>
      </c>
      <c r="U18" s="50"/>
      <c r="V18" s="50"/>
      <c r="W18" s="50"/>
      <c r="X18" s="50"/>
      <c r="Y18" s="50"/>
      <c r="Z18" s="50"/>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row>
    <row r="19" spans="2:56" x14ac:dyDescent="0.25">
      <c r="B19" s="70" t="s">
        <v>38</v>
      </c>
      <c r="C19" s="71">
        <f>SUMIFS(F8:F14,B8:B14,"YES",C8:C14,"YES")</f>
        <v>0</v>
      </c>
      <c r="D19" s="72">
        <f>F15-C19</f>
        <v>0</v>
      </c>
      <c r="E19" s="40"/>
      <c r="F19" s="40"/>
      <c r="G19" s="40"/>
      <c r="H19" s="40"/>
      <c r="I19" s="40"/>
      <c r="J19" s="40"/>
      <c r="K19" s="40"/>
      <c r="L19" s="40"/>
      <c r="M19" s="40"/>
      <c r="N19" s="62"/>
      <c r="O19" s="40"/>
      <c r="P19" s="40"/>
      <c r="Q19" s="41"/>
      <c r="R19" s="29"/>
      <c r="S19" s="50"/>
      <c r="T19" s="50"/>
      <c r="U19" s="50"/>
      <c r="V19" s="50"/>
      <c r="W19" s="50"/>
      <c r="X19" s="50"/>
      <c r="Y19" s="50"/>
      <c r="Z19" s="50"/>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row>
    <row r="20" spans="2:56" x14ac:dyDescent="0.25">
      <c r="B20" s="73" t="s">
        <v>37</v>
      </c>
      <c r="C20" s="74">
        <f>IFERROR((SUMPRODUCT(--(C9:C12="Yes"),F9:F12,L9:L12))/C19,0)</f>
        <v>0</v>
      </c>
      <c r="D20" s="75" t="e">
        <f>((L15*F15)-(C19*C20))/D19</f>
        <v>#DIV/0!</v>
      </c>
      <c r="E20" s="40"/>
      <c r="F20" s="40"/>
      <c r="G20" s="40"/>
      <c r="H20" s="40"/>
      <c r="I20" s="40"/>
      <c r="J20" s="40"/>
      <c r="K20" s="40"/>
      <c r="L20" s="40"/>
      <c r="M20" s="40"/>
      <c r="N20" s="62"/>
      <c r="O20" s="40"/>
      <c r="P20" s="40"/>
      <c r="Q20" s="41"/>
      <c r="R20" s="29"/>
      <c r="S20" s="50"/>
      <c r="T20" s="50"/>
      <c r="U20" s="50"/>
      <c r="V20" s="50"/>
      <c r="W20" s="50"/>
      <c r="X20" s="50"/>
      <c r="Y20" s="50"/>
      <c r="Z20" s="50"/>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row>
    <row r="21" spans="2:56" x14ac:dyDescent="0.25">
      <c r="B21" s="76"/>
      <c r="C21" s="77"/>
      <c r="D21" s="77"/>
      <c r="E21" s="40"/>
      <c r="F21" s="40"/>
      <c r="G21" s="40"/>
      <c r="H21" s="40"/>
      <c r="I21" s="40"/>
      <c r="J21" s="40"/>
      <c r="K21" s="40"/>
      <c r="L21" s="40"/>
      <c r="M21" s="40"/>
      <c r="N21" s="62"/>
      <c r="O21" s="40"/>
      <c r="P21" s="40"/>
      <c r="Q21" s="41"/>
      <c r="S21" s="78"/>
      <c r="T21" s="78"/>
      <c r="U21" s="78"/>
      <c r="V21" s="78"/>
      <c r="W21" s="78"/>
      <c r="X21" s="78"/>
      <c r="Y21" s="78"/>
      <c r="Z21" s="78"/>
    </row>
    <row r="22" spans="2:56" x14ac:dyDescent="0.25">
      <c r="B22" s="64" t="s">
        <v>39</v>
      </c>
      <c r="C22" s="99" t="s">
        <v>4</v>
      </c>
      <c r="D22" s="77"/>
      <c r="E22" s="40"/>
      <c r="F22" s="40"/>
      <c r="G22" s="40"/>
      <c r="H22" s="40"/>
      <c r="I22" s="40"/>
      <c r="J22" s="40"/>
      <c r="K22" s="40"/>
      <c r="L22" s="40"/>
      <c r="M22" s="40"/>
      <c r="N22" s="62"/>
      <c r="O22" s="40"/>
      <c r="P22" s="40"/>
      <c r="Q22" s="41"/>
    </row>
    <row r="23" spans="2:56" x14ac:dyDescent="0.25">
      <c r="B23" s="76"/>
      <c r="C23" s="77"/>
      <c r="D23" s="77"/>
      <c r="E23" s="40"/>
      <c r="F23" s="40"/>
      <c r="G23" s="40"/>
      <c r="H23" s="40"/>
      <c r="I23" s="40"/>
      <c r="J23" s="40"/>
      <c r="K23" s="40"/>
      <c r="L23" s="40"/>
      <c r="M23" s="40"/>
      <c r="N23" s="62"/>
      <c r="O23" s="40"/>
      <c r="P23" s="40"/>
      <c r="Q23" s="41"/>
    </row>
    <row r="24" spans="2:56" x14ac:dyDescent="0.25">
      <c r="B24" s="79" t="s">
        <v>40</v>
      </c>
      <c r="C24" s="80"/>
      <c r="D24" s="77"/>
      <c r="E24" s="40"/>
      <c r="F24" s="40"/>
      <c r="G24" s="40"/>
      <c r="H24" s="40"/>
      <c r="I24" s="40"/>
      <c r="J24" s="40"/>
      <c r="K24" s="40"/>
      <c r="L24" s="40"/>
      <c r="M24" s="40"/>
      <c r="N24" s="62"/>
      <c r="O24" s="40"/>
      <c r="P24" s="40"/>
      <c r="Q24" s="41"/>
    </row>
    <row r="25" spans="2:56" x14ac:dyDescent="0.25">
      <c r="B25" s="81" t="s">
        <v>41</v>
      </c>
      <c r="C25" s="82">
        <f>Inputs!B6</f>
        <v>0</v>
      </c>
      <c r="D25" s="61"/>
      <c r="E25" s="40"/>
      <c r="F25" s="40"/>
      <c r="G25" s="40"/>
      <c r="H25" s="40"/>
      <c r="I25" s="40"/>
      <c r="J25" s="40"/>
      <c r="K25" s="40"/>
      <c r="L25" s="40"/>
      <c r="M25" s="40"/>
      <c r="N25" s="62"/>
      <c r="O25" s="40"/>
      <c r="P25" s="40"/>
      <c r="Q25" s="41"/>
    </row>
    <row r="26" spans="2:56" x14ac:dyDescent="0.25">
      <c r="B26" s="83" t="s">
        <v>42</v>
      </c>
      <c r="C26" s="100">
        <v>0</v>
      </c>
      <c r="D26" s="61"/>
      <c r="E26" s="40"/>
      <c r="F26" s="40"/>
      <c r="G26" s="40"/>
      <c r="H26" s="40"/>
      <c r="I26" s="40"/>
      <c r="J26" s="40"/>
      <c r="K26" s="40"/>
      <c r="L26" s="40"/>
      <c r="M26" s="40"/>
      <c r="N26" s="62"/>
      <c r="O26" s="40"/>
      <c r="P26" s="40"/>
      <c r="Q26" s="41"/>
    </row>
    <row r="27" spans="2:56" x14ac:dyDescent="0.25">
      <c r="B27" s="166" t="s">
        <v>85</v>
      </c>
      <c r="C27" s="167">
        <v>0.5</v>
      </c>
      <c r="D27" s="61"/>
      <c r="E27" s="40"/>
      <c r="F27" s="40"/>
      <c r="G27" s="40"/>
      <c r="H27" s="40"/>
      <c r="I27" s="40"/>
      <c r="J27" s="40"/>
      <c r="K27" s="40"/>
      <c r="L27" s="40"/>
      <c r="M27" s="40"/>
      <c r="N27" s="62"/>
      <c r="O27" s="40"/>
      <c r="P27" s="40"/>
      <c r="Q27" s="41"/>
    </row>
    <row r="28" spans="2:56" x14ac:dyDescent="0.25">
      <c r="B28" s="166" t="s">
        <v>87</v>
      </c>
      <c r="C28" s="168">
        <v>5</v>
      </c>
      <c r="D28" s="61"/>
      <c r="E28" s="40"/>
      <c r="F28" s="40"/>
      <c r="G28" s="40"/>
      <c r="H28" s="40"/>
      <c r="I28" s="40"/>
      <c r="J28" s="40"/>
      <c r="K28" s="40"/>
      <c r="L28" s="40"/>
      <c r="M28" s="40"/>
      <c r="N28" s="62"/>
      <c r="O28" s="40"/>
      <c r="P28" s="40"/>
      <c r="Q28" s="41"/>
    </row>
    <row r="29" spans="2:56" x14ac:dyDescent="0.25">
      <c r="B29" s="84" t="s">
        <v>86</v>
      </c>
      <c r="C29" s="85">
        <f>C25*C28</f>
        <v>0</v>
      </c>
      <c r="D29" s="61"/>
      <c r="E29" s="40"/>
      <c r="F29" s="40"/>
      <c r="G29" s="40"/>
      <c r="H29" s="40"/>
      <c r="I29" s="40"/>
      <c r="J29" s="40"/>
      <c r="K29" s="40"/>
      <c r="L29" s="40"/>
      <c r="M29" s="40"/>
      <c r="N29" s="62"/>
      <c r="O29" s="40"/>
      <c r="P29" s="40"/>
      <c r="Q29" s="41"/>
    </row>
    <row r="30" spans="2:56" x14ac:dyDescent="0.25">
      <c r="B30" s="60"/>
      <c r="C30" s="40"/>
      <c r="D30" s="86"/>
      <c r="E30" s="87"/>
      <c r="F30" s="40"/>
      <c r="G30" s="86"/>
      <c r="H30" s="87"/>
      <c r="I30" s="40"/>
      <c r="J30" s="86"/>
      <c r="K30" s="88"/>
      <c r="L30" s="40"/>
      <c r="M30" s="40"/>
      <c r="N30" s="40"/>
      <c r="O30" s="40"/>
      <c r="P30" s="174"/>
      <c r="Q30" s="41"/>
    </row>
    <row r="31" spans="2:56" x14ac:dyDescent="0.25">
      <c r="B31" s="143" t="s">
        <v>13</v>
      </c>
      <c r="C31" s="124"/>
      <c r="D31" s="125"/>
      <c r="E31" s="125"/>
      <c r="F31" s="125"/>
      <c r="G31" s="125"/>
      <c r="H31" s="125"/>
      <c r="I31" s="125"/>
      <c r="J31" s="125"/>
      <c r="K31" s="125"/>
      <c r="L31" s="125"/>
      <c r="M31" s="125"/>
      <c r="N31" s="125"/>
      <c r="O31" s="126"/>
      <c r="P31" s="126"/>
      <c r="Q31" s="144"/>
    </row>
    <row r="32" spans="2:56" s="92" customFormat="1" x14ac:dyDescent="0.25">
      <c r="B32" s="89" t="s">
        <v>14</v>
      </c>
      <c r="C32" s="90"/>
      <c r="D32" s="164">
        <v>45078</v>
      </c>
      <c r="E32" s="164">
        <v>45108</v>
      </c>
      <c r="F32" s="164">
        <v>45139</v>
      </c>
      <c r="G32" s="164">
        <v>45170</v>
      </c>
      <c r="H32" s="164">
        <v>45200</v>
      </c>
      <c r="I32" s="164">
        <v>45231</v>
      </c>
      <c r="J32" s="164">
        <v>45261</v>
      </c>
      <c r="K32" s="164">
        <v>45292</v>
      </c>
      <c r="L32" s="164">
        <v>45323</v>
      </c>
      <c r="M32" s="164">
        <v>45352</v>
      </c>
      <c r="N32" s="164">
        <v>45383</v>
      </c>
      <c r="O32" s="164">
        <v>45413</v>
      </c>
      <c r="P32" s="164">
        <v>45444</v>
      </c>
      <c r="Q32" s="169">
        <v>45474</v>
      </c>
      <c r="R32" s="91"/>
      <c r="S32" s="91"/>
      <c r="T32" s="91"/>
      <c r="U32" s="91"/>
      <c r="V32" s="91"/>
      <c r="W32" s="91"/>
      <c r="X32" s="91"/>
      <c r="Y32" s="91"/>
      <c r="Z32" s="91"/>
      <c r="AA32" s="91"/>
      <c r="AB32" s="91"/>
      <c r="AC32" s="91"/>
    </row>
    <row r="33" spans="2:29" s="92" customFormat="1" x14ac:dyDescent="0.25">
      <c r="B33" s="89" t="s">
        <v>67</v>
      </c>
      <c r="C33" s="127">
        <f>D33+E33+F33+G33+H33+I33+J33</f>
        <v>1</v>
      </c>
      <c r="D33" s="128">
        <v>0.05</v>
      </c>
      <c r="E33" s="128">
        <v>0.1</v>
      </c>
      <c r="F33" s="128">
        <v>0.2</v>
      </c>
      <c r="G33" s="128">
        <v>0.2</v>
      </c>
      <c r="H33" s="128">
        <v>0.2</v>
      </c>
      <c r="I33" s="128">
        <v>0.2</v>
      </c>
      <c r="J33" s="128">
        <v>0.05</v>
      </c>
      <c r="K33" s="129"/>
      <c r="L33" s="129"/>
      <c r="M33" s="129"/>
      <c r="N33" s="129"/>
      <c r="O33" s="129"/>
      <c r="P33" s="129"/>
      <c r="Q33" s="145"/>
      <c r="R33" s="91"/>
      <c r="S33" s="91"/>
      <c r="T33" s="91"/>
      <c r="U33" s="91"/>
      <c r="V33" s="91"/>
      <c r="W33" s="91"/>
      <c r="X33" s="91"/>
      <c r="Y33" s="91"/>
      <c r="Z33" s="91"/>
      <c r="AA33" s="91"/>
      <c r="AB33" s="91"/>
      <c r="AC33" s="91"/>
    </row>
    <row r="34" spans="2:29" x14ac:dyDescent="0.25">
      <c r="B34" s="146" t="s">
        <v>15</v>
      </c>
      <c r="C34" s="130"/>
      <c r="D34" s="131">
        <f>Inputs!B6*D33</f>
        <v>0</v>
      </c>
      <c r="E34" s="131">
        <f>Inputs!B6*(D33+E33)</f>
        <v>0</v>
      </c>
      <c r="F34" s="131">
        <f>Inputs!B6*(D33+E33+F33)</f>
        <v>0</v>
      </c>
      <c r="G34" s="131">
        <f>Inputs!B6*(G33+F33+E33+D33)</f>
        <v>0</v>
      </c>
      <c r="H34" s="131">
        <f>Inputs!B6*(H33+G33+F33+E33+D33)</f>
        <v>0</v>
      </c>
      <c r="I34" s="131">
        <f>Inputs!B6*(I33+H33+G33+F33+E33+D33)</f>
        <v>0</v>
      </c>
      <c r="J34" s="131">
        <f>Inputs!B6*(J33+I33+H33+G33+F33+E33+D33)</f>
        <v>0</v>
      </c>
      <c r="K34" s="131">
        <f>Inputs!B6</f>
        <v>0</v>
      </c>
      <c r="L34" s="131">
        <f>Inputs!B6</f>
        <v>0</v>
      </c>
      <c r="M34" s="131">
        <f>Inputs!B6</f>
        <v>0</v>
      </c>
      <c r="N34" s="131">
        <f>Inputs!B6</f>
        <v>0</v>
      </c>
      <c r="O34" s="131">
        <f>Inputs!B6</f>
        <v>0</v>
      </c>
      <c r="P34" s="131">
        <f>Inputs!B6</f>
        <v>0</v>
      </c>
      <c r="Q34" s="147">
        <f>Inputs!B6</f>
        <v>0</v>
      </c>
    </row>
    <row r="35" spans="2:29" x14ac:dyDescent="0.25">
      <c r="B35" s="146" t="s">
        <v>16</v>
      </c>
      <c r="C35" s="130"/>
      <c r="D35" s="173">
        <f>Inputs!$B$7</f>
        <v>0</v>
      </c>
      <c r="E35" s="173">
        <f>Inputs!$B$7</f>
        <v>0</v>
      </c>
      <c r="F35" s="173">
        <f>Inputs!$B$7</f>
        <v>0</v>
      </c>
      <c r="G35" s="173">
        <f>Inputs!$B$7</f>
        <v>0</v>
      </c>
      <c r="H35" s="173">
        <f>Inputs!$B$7</f>
        <v>0</v>
      </c>
      <c r="I35" s="173">
        <f>Inputs!$B$7</f>
        <v>0</v>
      </c>
      <c r="J35" s="173">
        <f>Inputs!$B$7</f>
        <v>0</v>
      </c>
      <c r="K35" s="173">
        <f>Inputs!$B$7</f>
        <v>0</v>
      </c>
      <c r="L35" s="173">
        <f>Inputs!$B$7</f>
        <v>0</v>
      </c>
      <c r="M35" s="173">
        <f>Inputs!$B$7</f>
        <v>0</v>
      </c>
      <c r="N35" s="173">
        <f>Inputs!$B$7</f>
        <v>0</v>
      </c>
      <c r="O35" s="173">
        <f>Inputs!$B$7</f>
        <v>0</v>
      </c>
      <c r="P35" s="173">
        <f>Inputs!$B$7</f>
        <v>0</v>
      </c>
      <c r="Q35" s="174">
        <f>Inputs!$B$7</f>
        <v>0</v>
      </c>
    </row>
    <row r="36" spans="2:29" x14ac:dyDescent="0.25">
      <c r="B36" s="148" t="s">
        <v>17</v>
      </c>
      <c r="C36" s="132"/>
      <c r="D36" s="133">
        <f>((D34*0.009*(D35-4)))</f>
        <v>0</v>
      </c>
      <c r="E36" s="133">
        <f t="shared" ref="E36:Q36" si="4">((E34*0.009*(E35-4)))</f>
        <v>0</v>
      </c>
      <c r="F36" s="133">
        <f t="shared" si="4"/>
        <v>0</v>
      </c>
      <c r="G36" s="133">
        <f t="shared" si="4"/>
        <v>0</v>
      </c>
      <c r="H36" s="133">
        <f t="shared" si="4"/>
        <v>0</v>
      </c>
      <c r="I36" s="133">
        <f t="shared" si="4"/>
        <v>0</v>
      </c>
      <c r="J36" s="133">
        <f t="shared" si="4"/>
        <v>0</v>
      </c>
      <c r="K36" s="133">
        <f t="shared" si="4"/>
        <v>0</v>
      </c>
      <c r="L36" s="133">
        <f t="shared" si="4"/>
        <v>0</v>
      </c>
      <c r="M36" s="133">
        <f t="shared" si="4"/>
        <v>0</v>
      </c>
      <c r="N36" s="133">
        <f t="shared" si="4"/>
        <v>0</v>
      </c>
      <c r="O36" s="133">
        <f t="shared" si="4"/>
        <v>0</v>
      </c>
      <c r="P36" s="133">
        <f t="shared" si="4"/>
        <v>0</v>
      </c>
      <c r="Q36" s="147">
        <f t="shared" si="4"/>
        <v>0</v>
      </c>
    </row>
    <row r="37" spans="2:29" ht="10.5" customHeight="1" x14ac:dyDescent="0.25">
      <c r="B37" s="148"/>
      <c r="C37" s="132"/>
      <c r="D37" s="133"/>
      <c r="E37" s="133"/>
      <c r="F37" s="133"/>
      <c r="G37" s="133"/>
      <c r="H37" s="133"/>
      <c r="I37" s="133"/>
      <c r="J37" s="133"/>
      <c r="K37" s="131"/>
      <c r="L37" s="131"/>
      <c r="M37" s="131"/>
      <c r="N37" s="131"/>
      <c r="O37" s="131"/>
      <c r="P37" s="131"/>
      <c r="Q37" s="147"/>
    </row>
    <row r="38" spans="2:29" x14ac:dyDescent="0.25">
      <c r="B38" s="143" t="s">
        <v>18</v>
      </c>
      <c r="C38" s="124"/>
      <c r="D38" s="125"/>
      <c r="E38" s="125"/>
      <c r="F38" s="125"/>
      <c r="G38" s="125"/>
      <c r="H38" s="125"/>
      <c r="I38" s="125"/>
      <c r="J38" s="125"/>
      <c r="K38" s="126"/>
      <c r="L38" s="126"/>
      <c r="M38" s="126"/>
      <c r="N38" s="126"/>
      <c r="O38" s="126"/>
      <c r="P38" s="126"/>
      <c r="Q38" s="144"/>
    </row>
    <row r="39" spans="2:29" x14ac:dyDescent="0.25">
      <c r="B39" s="149" t="s">
        <v>19</v>
      </c>
      <c r="C39" s="134"/>
      <c r="D39" s="135">
        <v>0.9</v>
      </c>
      <c r="E39" s="135">
        <v>0.9</v>
      </c>
      <c r="F39" s="135">
        <v>0.9</v>
      </c>
      <c r="G39" s="135">
        <v>0.9</v>
      </c>
      <c r="H39" s="135">
        <v>0.9</v>
      </c>
      <c r="I39" s="135">
        <v>0.9</v>
      </c>
      <c r="J39" s="135">
        <v>0.9</v>
      </c>
      <c r="K39" s="135">
        <v>0.9</v>
      </c>
      <c r="L39" s="135">
        <v>0.9</v>
      </c>
      <c r="M39" s="135">
        <v>0.9</v>
      </c>
      <c r="N39" s="135">
        <v>0.9</v>
      </c>
      <c r="O39" s="135">
        <v>0.95</v>
      </c>
      <c r="P39" s="135">
        <v>0.97499999999999998</v>
      </c>
      <c r="Q39" s="150">
        <v>1</v>
      </c>
    </row>
    <row r="40" spans="2:29" x14ac:dyDescent="0.25">
      <c r="B40" s="149" t="s">
        <v>20</v>
      </c>
      <c r="C40" s="134"/>
      <c r="D40" s="135">
        <v>0.7</v>
      </c>
      <c r="E40" s="135">
        <v>0.7</v>
      </c>
      <c r="F40" s="135">
        <v>0.7</v>
      </c>
      <c r="G40" s="135">
        <v>0.7</v>
      </c>
      <c r="H40" s="135">
        <v>0.72499999999999998</v>
      </c>
      <c r="I40" s="135">
        <v>0.75</v>
      </c>
      <c r="J40" s="135">
        <v>0.77500000000000002</v>
      </c>
      <c r="K40" s="135">
        <v>0.8</v>
      </c>
      <c r="L40" s="135">
        <v>0.85</v>
      </c>
      <c r="M40" s="135">
        <v>0.875</v>
      </c>
      <c r="N40" s="135">
        <v>0.9</v>
      </c>
      <c r="O40" s="135">
        <v>0.95</v>
      </c>
      <c r="P40" s="135">
        <v>0.97499999999999998</v>
      </c>
      <c r="Q40" s="150">
        <v>1</v>
      </c>
    </row>
    <row r="41" spans="2:29" ht="8.25" customHeight="1" x14ac:dyDescent="0.25">
      <c r="B41" s="146"/>
      <c r="C41" s="130"/>
      <c r="D41" s="131"/>
      <c r="E41" s="131"/>
      <c r="F41" s="131"/>
      <c r="G41" s="131"/>
      <c r="H41" s="131"/>
      <c r="I41" s="131"/>
      <c r="J41" s="131"/>
      <c r="K41" s="131"/>
      <c r="L41" s="131"/>
      <c r="M41" s="131"/>
      <c r="N41" s="131"/>
      <c r="O41" s="131"/>
      <c r="P41" s="131"/>
      <c r="Q41" s="147"/>
    </row>
    <row r="42" spans="2:29" ht="20.25" customHeight="1" x14ac:dyDescent="0.25">
      <c r="B42" s="93" t="s">
        <v>21</v>
      </c>
      <c r="C42" s="94"/>
      <c r="D42" s="136">
        <f t="shared" ref="D42:Q42" si="5">$C$20*D39</f>
        <v>0</v>
      </c>
      <c r="E42" s="136">
        <f t="shared" si="5"/>
        <v>0</v>
      </c>
      <c r="F42" s="136">
        <f t="shared" si="5"/>
        <v>0</v>
      </c>
      <c r="G42" s="136">
        <f t="shared" si="5"/>
        <v>0</v>
      </c>
      <c r="H42" s="136">
        <f t="shared" si="5"/>
        <v>0</v>
      </c>
      <c r="I42" s="136">
        <f t="shared" si="5"/>
        <v>0</v>
      </c>
      <c r="J42" s="136">
        <f t="shared" si="5"/>
        <v>0</v>
      </c>
      <c r="K42" s="136">
        <f t="shared" si="5"/>
        <v>0</v>
      </c>
      <c r="L42" s="136">
        <f t="shared" si="5"/>
        <v>0</v>
      </c>
      <c r="M42" s="136">
        <f t="shared" si="5"/>
        <v>0</v>
      </c>
      <c r="N42" s="136">
        <f t="shared" si="5"/>
        <v>0</v>
      </c>
      <c r="O42" s="136">
        <f t="shared" si="5"/>
        <v>0</v>
      </c>
      <c r="P42" s="136">
        <f t="shared" si="5"/>
        <v>0</v>
      </c>
      <c r="Q42" s="151">
        <f t="shared" si="5"/>
        <v>0</v>
      </c>
    </row>
    <row r="43" spans="2:29" x14ac:dyDescent="0.25">
      <c r="B43" s="93" t="s">
        <v>22</v>
      </c>
      <c r="C43" s="94"/>
      <c r="D43" s="137">
        <f t="shared" ref="D43:Q43" si="6">IF(D36&lt;$C$19,D36,$C$19)</f>
        <v>0</v>
      </c>
      <c r="E43" s="137">
        <f t="shared" si="6"/>
        <v>0</v>
      </c>
      <c r="F43" s="137">
        <f t="shared" si="6"/>
        <v>0</v>
      </c>
      <c r="G43" s="137">
        <f t="shared" si="6"/>
        <v>0</v>
      </c>
      <c r="H43" s="137">
        <f t="shared" si="6"/>
        <v>0</v>
      </c>
      <c r="I43" s="137">
        <f t="shared" si="6"/>
        <v>0</v>
      </c>
      <c r="J43" s="137">
        <f t="shared" si="6"/>
        <v>0</v>
      </c>
      <c r="K43" s="137">
        <f t="shared" si="6"/>
        <v>0</v>
      </c>
      <c r="L43" s="137">
        <f t="shared" si="6"/>
        <v>0</v>
      </c>
      <c r="M43" s="137">
        <f t="shared" si="6"/>
        <v>0</v>
      </c>
      <c r="N43" s="137">
        <f t="shared" si="6"/>
        <v>0</v>
      </c>
      <c r="O43" s="137">
        <f t="shared" si="6"/>
        <v>0</v>
      </c>
      <c r="P43" s="137">
        <f t="shared" si="6"/>
        <v>0</v>
      </c>
      <c r="Q43" s="152">
        <f t="shared" si="6"/>
        <v>0</v>
      </c>
    </row>
    <row r="44" spans="2:29" ht="8.25" customHeight="1" x14ac:dyDescent="0.25">
      <c r="B44" s="93"/>
      <c r="C44" s="94"/>
      <c r="D44" s="131"/>
      <c r="E44" s="131"/>
      <c r="F44" s="131"/>
      <c r="G44" s="131"/>
      <c r="H44" s="131"/>
      <c r="I44" s="131"/>
      <c r="J44" s="131"/>
      <c r="K44" s="131"/>
      <c r="L44" s="131"/>
      <c r="M44" s="131"/>
      <c r="N44" s="131"/>
      <c r="O44" s="131"/>
      <c r="P44" s="131"/>
      <c r="Q44" s="147"/>
    </row>
    <row r="45" spans="2:29" ht="17.25" customHeight="1" x14ac:dyDescent="0.25">
      <c r="B45" s="93" t="s">
        <v>23</v>
      </c>
      <c r="C45" s="94"/>
      <c r="D45" s="136" t="e">
        <f t="shared" ref="D45:Q45" si="7">$D$20*D40</f>
        <v>#DIV/0!</v>
      </c>
      <c r="E45" s="136" t="e">
        <f t="shared" si="7"/>
        <v>#DIV/0!</v>
      </c>
      <c r="F45" s="136" t="e">
        <f t="shared" si="7"/>
        <v>#DIV/0!</v>
      </c>
      <c r="G45" s="136" t="e">
        <f t="shared" si="7"/>
        <v>#DIV/0!</v>
      </c>
      <c r="H45" s="136" t="e">
        <f t="shared" si="7"/>
        <v>#DIV/0!</v>
      </c>
      <c r="I45" s="136" t="e">
        <f t="shared" si="7"/>
        <v>#DIV/0!</v>
      </c>
      <c r="J45" s="136" t="e">
        <f t="shared" si="7"/>
        <v>#DIV/0!</v>
      </c>
      <c r="K45" s="136" t="e">
        <f t="shared" si="7"/>
        <v>#DIV/0!</v>
      </c>
      <c r="L45" s="136" t="e">
        <f t="shared" si="7"/>
        <v>#DIV/0!</v>
      </c>
      <c r="M45" s="136" t="e">
        <f t="shared" si="7"/>
        <v>#DIV/0!</v>
      </c>
      <c r="N45" s="136" t="e">
        <f t="shared" si="7"/>
        <v>#DIV/0!</v>
      </c>
      <c r="O45" s="136" t="e">
        <f t="shared" si="7"/>
        <v>#DIV/0!</v>
      </c>
      <c r="P45" s="136" t="e">
        <f t="shared" si="7"/>
        <v>#DIV/0!</v>
      </c>
      <c r="Q45" s="151" t="e">
        <f t="shared" si="7"/>
        <v>#DIV/0!</v>
      </c>
    </row>
    <row r="46" spans="2:29" x14ac:dyDescent="0.25">
      <c r="B46" s="93" t="s">
        <v>24</v>
      </c>
      <c r="C46" s="94"/>
      <c r="D46" s="137">
        <f>D36-D43</f>
        <v>0</v>
      </c>
      <c r="E46" s="137">
        <f t="shared" ref="E46:Q46" si="8">E36-E43</f>
        <v>0</v>
      </c>
      <c r="F46" s="137">
        <f t="shared" si="8"/>
        <v>0</v>
      </c>
      <c r="G46" s="137">
        <f t="shared" si="8"/>
        <v>0</v>
      </c>
      <c r="H46" s="137">
        <f t="shared" si="8"/>
        <v>0</v>
      </c>
      <c r="I46" s="137">
        <f t="shared" si="8"/>
        <v>0</v>
      </c>
      <c r="J46" s="137">
        <f t="shared" si="8"/>
        <v>0</v>
      </c>
      <c r="K46" s="137">
        <f t="shared" si="8"/>
        <v>0</v>
      </c>
      <c r="L46" s="137">
        <f t="shared" si="8"/>
        <v>0</v>
      </c>
      <c r="M46" s="137">
        <f t="shared" si="8"/>
        <v>0</v>
      </c>
      <c r="N46" s="137">
        <f t="shared" si="8"/>
        <v>0</v>
      </c>
      <c r="O46" s="137">
        <f t="shared" si="8"/>
        <v>0</v>
      </c>
      <c r="P46" s="137">
        <f t="shared" si="8"/>
        <v>0</v>
      </c>
      <c r="Q46" s="152">
        <f t="shared" si="8"/>
        <v>0</v>
      </c>
    </row>
    <row r="47" spans="2:29" ht="10.5" customHeight="1" x14ac:dyDescent="0.25">
      <c r="B47" s="93"/>
      <c r="C47" s="94"/>
      <c r="D47" s="131"/>
      <c r="E47" s="131"/>
      <c r="F47" s="131"/>
      <c r="G47" s="131"/>
      <c r="H47" s="131"/>
      <c r="I47" s="131"/>
      <c r="J47" s="131"/>
      <c r="K47" s="131"/>
      <c r="L47" s="131"/>
      <c r="M47" s="131"/>
      <c r="N47" s="131"/>
      <c r="O47" s="131"/>
      <c r="P47" s="131"/>
      <c r="Q47" s="147"/>
    </row>
    <row r="48" spans="2:29" x14ac:dyDescent="0.25">
      <c r="B48" s="93" t="s">
        <v>25</v>
      </c>
      <c r="C48" s="94"/>
      <c r="D48" s="136">
        <f t="shared" ref="D48:Q48" si="9">IFERROR(((D42*D43)+(D45*D46))/D36,0)</f>
        <v>0</v>
      </c>
      <c r="E48" s="136">
        <f t="shared" si="9"/>
        <v>0</v>
      </c>
      <c r="F48" s="136">
        <f t="shared" si="9"/>
        <v>0</v>
      </c>
      <c r="G48" s="136">
        <f t="shared" si="9"/>
        <v>0</v>
      </c>
      <c r="H48" s="136">
        <f t="shared" si="9"/>
        <v>0</v>
      </c>
      <c r="I48" s="136">
        <f t="shared" si="9"/>
        <v>0</v>
      </c>
      <c r="J48" s="136">
        <f t="shared" si="9"/>
        <v>0</v>
      </c>
      <c r="K48" s="136">
        <f t="shared" si="9"/>
        <v>0</v>
      </c>
      <c r="L48" s="136">
        <f t="shared" si="9"/>
        <v>0</v>
      </c>
      <c r="M48" s="136">
        <f t="shared" si="9"/>
        <v>0</v>
      </c>
      <c r="N48" s="136">
        <f t="shared" si="9"/>
        <v>0</v>
      </c>
      <c r="O48" s="136">
        <f t="shared" si="9"/>
        <v>0</v>
      </c>
      <c r="P48" s="136">
        <f t="shared" si="9"/>
        <v>0</v>
      </c>
      <c r="Q48" s="151">
        <f t="shared" si="9"/>
        <v>0</v>
      </c>
    </row>
    <row r="49" spans="2:17" ht="8.25" customHeight="1" x14ac:dyDescent="0.25">
      <c r="B49" s="93"/>
      <c r="C49" s="94"/>
      <c r="D49" s="131"/>
      <c r="E49" s="131"/>
      <c r="F49" s="131"/>
      <c r="G49" s="131"/>
      <c r="H49" s="131"/>
      <c r="I49" s="131"/>
      <c r="J49" s="131"/>
      <c r="K49" s="131"/>
      <c r="L49" s="131"/>
      <c r="M49" s="131"/>
      <c r="N49" s="131"/>
      <c r="O49" s="131"/>
      <c r="P49" s="131"/>
      <c r="Q49" s="147"/>
    </row>
    <row r="50" spans="2:17" x14ac:dyDescent="0.25">
      <c r="B50" s="143" t="s">
        <v>26</v>
      </c>
      <c r="C50" s="138"/>
      <c r="D50" s="125"/>
      <c r="E50" s="125"/>
      <c r="F50" s="125"/>
      <c r="G50" s="125"/>
      <c r="H50" s="125"/>
      <c r="I50" s="125"/>
      <c r="J50" s="125"/>
      <c r="K50" s="126"/>
      <c r="L50" s="126"/>
      <c r="M50" s="126"/>
      <c r="N50" s="126"/>
      <c r="O50" s="126"/>
      <c r="P50" s="126"/>
      <c r="Q50" s="144"/>
    </row>
    <row r="51" spans="2:17" x14ac:dyDescent="0.25">
      <c r="B51" s="93" t="s">
        <v>27</v>
      </c>
      <c r="C51" s="94"/>
      <c r="D51" s="136">
        <f t="shared" ref="D51:Q51" si="10">IFERROR((D48*0.009*(D35-4)+0.65),0)</f>
        <v>0.65</v>
      </c>
      <c r="E51" s="136">
        <f>IFERROR((E48*0.009*(E35-4)+0.65),0)</f>
        <v>0.65</v>
      </c>
      <c r="F51" s="136">
        <f t="shared" si="10"/>
        <v>0.65</v>
      </c>
      <c r="G51" s="136">
        <f t="shared" si="10"/>
        <v>0.65</v>
      </c>
      <c r="H51" s="136">
        <f t="shared" si="10"/>
        <v>0.65</v>
      </c>
      <c r="I51" s="136">
        <f t="shared" si="10"/>
        <v>0.65</v>
      </c>
      <c r="J51" s="136">
        <f t="shared" si="10"/>
        <v>0.65</v>
      </c>
      <c r="K51" s="136">
        <f t="shared" si="10"/>
        <v>0.65</v>
      </c>
      <c r="L51" s="136">
        <f t="shared" si="10"/>
        <v>0.65</v>
      </c>
      <c r="M51" s="136">
        <f t="shared" si="10"/>
        <v>0.65</v>
      </c>
      <c r="N51" s="136">
        <f t="shared" si="10"/>
        <v>0.65</v>
      </c>
      <c r="O51" s="136">
        <f t="shared" si="10"/>
        <v>0.65</v>
      </c>
      <c r="P51" s="136">
        <f t="shared" si="10"/>
        <v>0.65</v>
      </c>
      <c r="Q51" s="151">
        <f t="shared" si="10"/>
        <v>0.65</v>
      </c>
    </row>
    <row r="52" spans="2:17" x14ac:dyDescent="0.25">
      <c r="B52" s="93" t="s">
        <v>53</v>
      </c>
      <c r="C52" s="94"/>
      <c r="D52" s="130">
        <f>D34*D51</f>
        <v>0</v>
      </c>
      <c r="E52" s="130">
        <f>(E34*E51)-SUM(D52)</f>
        <v>0</v>
      </c>
      <c r="F52" s="130">
        <f>(F34*F51)-SUM($D$52:E52)</f>
        <v>0</v>
      </c>
      <c r="G52" s="130">
        <f>(G34*G51)-SUM($D$52:F52)</f>
        <v>0</v>
      </c>
      <c r="H52" s="130">
        <f>(H34*H51)-SUM($D$52:G52)</f>
        <v>0</v>
      </c>
      <c r="I52" s="130">
        <f>(I34*I51)-SUM($D$52:H52)</f>
        <v>0</v>
      </c>
      <c r="J52" s="130">
        <f>(J34*J51)-SUM($D$52:I52)</f>
        <v>0</v>
      </c>
      <c r="K52" s="130">
        <f>(K34*K51)-SUM($D$52:J52)</f>
        <v>0</v>
      </c>
      <c r="L52" s="130">
        <f>(L34*L51)-SUM($D$52:K52)</f>
        <v>0</v>
      </c>
      <c r="M52" s="130">
        <f>(M34*M51)-SUM($D$52:L52)</f>
        <v>0</v>
      </c>
      <c r="N52" s="130">
        <f>(N34*N51)-SUM($D$52:M52)</f>
        <v>0</v>
      </c>
      <c r="O52" s="130">
        <f>(O34*O51)-SUM($D$52:N52)</f>
        <v>0</v>
      </c>
      <c r="P52" s="130">
        <f>(P34*P51)-SUM($D$52:O52)</f>
        <v>0</v>
      </c>
      <c r="Q52" s="153">
        <f>(Q34*Q51)-SUM($D$52:P52)</f>
        <v>0</v>
      </c>
    </row>
    <row r="53" spans="2:17" x14ac:dyDescent="0.25">
      <c r="B53" s="83"/>
      <c r="C53" s="131"/>
      <c r="D53" s="131"/>
      <c r="E53" s="131"/>
      <c r="F53" s="131"/>
      <c r="G53" s="131"/>
      <c r="H53" s="131"/>
      <c r="I53" s="131"/>
      <c r="J53" s="131"/>
      <c r="K53" s="131"/>
      <c r="L53" s="131"/>
      <c r="M53" s="131"/>
      <c r="N53" s="131"/>
      <c r="O53" s="131"/>
      <c r="P53" s="131"/>
      <c r="Q53" s="147"/>
    </row>
    <row r="54" spans="2:17" ht="15.75" customHeight="1" x14ac:dyDescent="0.25">
      <c r="B54" s="146" t="s">
        <v>43</v>
      </c>
      <c r="C54" s="139">
        <f>C29</f>
        <v>0</v>
      </c>
      <c r="D54" s="130"/>
      <c r="E54" s="136"/>
      <c r="F54" s="136"/>
      <c r="G54" s="136"/>
      <c r="H54" s="136"/>
      <c r="I54" s="136"/>
      <c r="J54" s="136"/>
      <c r="K54" s="136"/>
      <c r="L54" s="136"/>
      <c r="M54" s="136"/>
      <c r="N54" s="136"/>
      <c r="O54" s="136"/>
      <c r="P54" s="136"/>
      <c r="Q54" s="151"/>
    </row>
    <row r="55" spans="2:17" ht="15.75" customHeight="1" x14ac:dyDescent="0.25">
      <c r="B55" s="146" t="s">
        <v>52</v>
      </c>
      <c r="C55" s="130"/>
      <c r="D55" s="136">
        <f>IF((SUM($C55:C55)+D52&lt;$C$54),D52*Repayment_Rate,$C$54-SUM($C$55:C55))</f>
        <v>0</v>
      </c>
      <c r="E55" s="136">
        <f>IF((SUM($C55:D55)+Repayment_Rate*E52&lt;$C$54),E52*Repayment_Rate,$C$54-SUM($C$55:D55))</f>
        <v>0</v>
      </c>
      <c r="F55" s="136">
        <f>IF((SUM($C55:E55)+Repayment_Rate*F52&lt;$C$54),F52*Repayment_Rate,$C$54-SUM($C$55:E55))</f>
        <v>0</v>
      </c>
      <c r="G55" s="136">
        <f>IF((SUM($C55:F55)+Repayment_Rate*G52&lt;$C$54),G52*Repayment_Rate,$C$54-SUM($C$55:F55))</f>
        <v>0</v>
      </c>
      <c r="H55" s="136">
        <f>IF((SUM($C55:G55)+Repayment_Rate*H52&lt;$C$54),H52*Repayment_Rate,$C$54-SUM($C$55:G55))</f>
        <v>0</v>
      </c>
      <c r="I55" s="136">
        <f>IF((SUM($C55:H55)+Repayment_Rate*I52&lt;$C$54),I52*Repayment_Rate,$C$54-SUM($C$55:H55))</f>
        <v>0</v>
      </c>
      <c r="J55" s="136">
        <f>IF((SUM($C55:I55)+Repayment_Rate*J52&lt;$C$54),J52*Repayment_Rate,$C$54-SUM($C$55:I55))</f>
        <v>0</v>
      </c>
      <c r="K55" s="136">
        <f>IF((SUM($C55:J55)+Repayment_Rate*K52&lt;$C$54),K52*Repayment_Rate,$C$54-SUM($C$55:J55))</f>
        <v>0</v>
      </c>
      <c r="L55" s="136">
        <f>IF((SUM($C55:K55)+Repayment_Rate*L52&lt;$C$54),L52*Repayment_Rate,$C$54-SUM($C$55:K55))</f>
        <v>0</v>
      </c>
      <c r="M55" s="136">
        <f>IF((SUM($C55:L55)+Repayment_Rate*M52&lt;$C$54),M52*Repayment_Rate,$C$54-SUM($C$55:L55))</f>
        <v>0</v>
      </c>
      <c r="N55" s="136">
        <f>IF((SUM($C55:M55)+Repayment_Rate*N52&lt;$C$54),N52*Repayment_Rate,$C$54-SUM($C$55:M55))</f>
        <v>0</v>
      </c>
      <c r="O55" s="136">
        <f>IF((SUM($C55:N55)+Repayment_Rate*O52&lt;$C$54),O52*Repayment_Rate,$C$54-SUM($C$55:N55))</f>
        <v>0</v>
      </c>
      <c r="P55" s="136">
        <f>IF((SUM($C55:O55)+Repayment_Rate*P52&lt;$C$54),P52*Repayment_Rate,$C$54-SUM($C$55:O55))</f>
        <v>0</v>
      </c>
      <c r="Q55" s="136">
        <f>IF((SUM($C55:P55)+Repayment_Rate*Q52&lt;$C$54),Q52*Repayment_Rate,$C$54-SUM($C$55:P55))</f>
        <v>0</v>
      </c>
    </row>
    <row r="56" spans="2:17" ht="8.25" customHeight="1" x14ac:dyDescent="0.25">
      <c r="B56" s="146"/>
      <c r="C56" s="130"/>
      <c r="D56" s="136"/>
      <c r="E56" s="136"/>
      <c r="F56" s="136"/>
      <c r="G56" s="136"/>
      <c r="H56" s="136"/>
      <c r="I56" s="136"/>
      <c r="J56" s="136"/>
      <c r="K56" s="136"/>
      <c r="L56" s="136"/>
      <c r="M56" s="136"/>
      <c r="N56" s="136"/>
      <c r="O56" s="136"/>
      <c r="P56" s="136"/>
      <c r="Q56" s="151"/>
    </row>
    <row r="57" spans="2:17" ht="15.75" customHeight="1" x14ac:dyDescent="0.25">
      <c r="B57" s="154" t="s">
        <v>72</v>
      </c>
      <c r="C57" s="140"/>
      <c r="D57" s="141"/>
      <c r="E57" s="141"/>
      <c r="F57" s="141"/>
      <c r="G57" s="141"/>
      <c r="H57" s="141"/>
      <c r="I57" s="141"/>
      <c r="J57" s="141"/>
      <c r="K57" s="141"/>
      <c r="L57" s="141"/>
      <c r="M57" s="141"/>
      <c r="N57" s="141"/>
      <c r="O57" s="141"/>
      <c r="P57" s="141"/>
      <c r="Q57" s="155"/>
    </row>
    <row r="58" spans="2:17" ht="15.75" customHeight="1" x14ac:dyDescent="0.25">
      <c r="B58" s="146" t="s">
        <v>75</v>
      </c>
      <c r="C58" s="142">
        <f>SUM(D58:Q58)</f>
        <v>0</v>
      </c>
      <c r="D58" s="136">
        <f>(Inputs!$B$6*'Future Season Forecast'!D33)*Inputs!$G$7</f>
        <v>0</v>
      </c>
      <c r="E58" s="136">
        <f>(Inputs!$B$6*'Future Season Forecast'!E33)*Inputs!$G$7</f>
        <v>0</v>
      </c>
      <c r="F58" s="136">
        <f>(Inputs!$B$6*'Future Season Forecast'!F33)*Inputs!$G$7</f>
        <v>0</v>
      </c>
      <c r="G58" s="136">
        <f>(Inputs!$B$6*'Future Season Forecast'!G33)*Inputs!$G$7</f>
        <v>0</v>
      </c>
      <c r="H58" s="136">
        <f>(Inputs!$B$6*'Future Season Forecast'!H33)*Inputs!$G$7</f>
        <v>0</v>
      </c>
      <c r="I58" s="136">
        <f>(Inputs!$B$6*'Future Season Forecast'!I33)*Inputs!$G$7</f>
        <v>0</v>
      </c>
      <c r="J58" s="136">
        <f>(Inputs!$B$6*'Future Season Forecast'!J33)*Inputs!$G$7</f>
        <v>0</v>
      </c>
      <c r="K58" s="136">
        <f>(Inputs!$B$6*'Future Season Forecast'!K33)*Inputs!$G$7</f>
        <v>0</v>
      </c>
      <c r="L58" s="136">
        <f>(Inputs!$B$6*'Future Season Forecast'!L33)*Inputs!$G$7</f>
        <v>0</v>
      </c>
      <c r="M58" s="136">
        <f>(Inputs!$B$6*'Future Season Forecast'!M33)*Inputs!$G$7</f>
        <v>0</v>
      </c>
      <c r="N58" s="136">
        <f>(Inputs!$B$6*'Future Season Forecast'!N33)*Inputs!$G$7</f>
        <v>0</v>
      </c>
      <c r="O58" s="136">
        <f>(Inputs!$B$6*'Future Season Forecast'!O33)*Inputs!$G$7</f>
        <v>0</v>
      </c>
      <c r="P58" s="136">
        <f>(Inputs!$B$6*'Future Season Forecast'!P33)*Inputs!$G$7</f>
        <v>0</v>
      </c>
      <c r="Q58" s="151">
        <f>(Inputs!$B$6*'Future Season Forecast'!Q33)*Inputs!$G$7</f>
        <v>0</v>
      </c>
    </row>
    <row r="59" spans="2:17" ht="15.75" customHeight="1" x14ac:dyDescent="0.25">
      <c r="B59" s="146" t="s">
        <v>69</v>
      </c>
      <c r="C59" s="142">
        <f t="shared" ref="C59:C62" si="11">SUM(D59:Q59)</f>
        <v>0</v>
      </c>
      <c r="D59" s="136">
        <f>(Inputs!$B$6*Inputs!$G$8)*D33</f>
        <v>0</v>
      </c>
      <c r="E59" s="136">
        <f>(Inputs!$B$6*Inputs!$G$8)*E33</f>
        <v>0</v>
      </c>
      <c r="F59" s="136">
        <f>(Inputs!$B$6*Inputs!$G$8)*F33</f>
        <v>0</v>
      </c>
      <c r="G59" s="136">
        <f>(Inputs!$B$6*Inputs!$G$8)*G33</f>
        <v>0</v>
      </c>
      <c r="H59" s="136">
        <f>(Inputs!$B$6*Inputs!$G$8)*H33</f>
        <v>0</v>
      </c>
      <c r="I59" s="136">
        <f>(Inputs!$B$6*Inputs!$G$8)*I33</f>
        <v>0</v>
      </c>
      <c r="J59" s="136">
        <f>(Inputs!$B$6*Inputs!$G$8)*J33</f>
        <v>0</v>
      </c>
      <c r="K59" s="136">
        <f>(Inputs!$B$6*Inputs!$G$8)*K33</f>
        <v>0</v>
      </c>
      <c r="L59" s="136">
        <f>(Inputs!$B$6*Inputs!$G$8)*L33</f>
        <v>0</v>
      </c>
      <c r="M59" s="136">
        <f>(Inputs!$B$6*Inputs!$G$8)*M33</f>
        <v>0</v>
      </c>
      <c r="N59" s="136">
        <f>(Inputs!$B$6*Inputs!$G$8)*N33</f>
        <v>0</v>
      </c>
      <c r="O59" s="136">
        <f>(Inputs!$B$6*Inputs!$G$8)*O33</f>
        <v>0</v>
      </c>
      <c r="P59" s="136">
        <f>(Inputs!$B$6*Inputs!$G$8)*P33</f>
        <v>0</v>
      </c>
      <c r="Q59" s="151">
        <f>(Inputs!$B$6*Inputs!$G$8)*Q33</f>
        <v>0</v>
      </c>
    </row>
    <row r="60" spans="2:17" ht="15.75" customHeight="1" x14ac:dyDescent="0.25">
      <c r="B60" s="146" t="s">
        <v>70</v>
      </c>
      <c r="C60" s="142">
        <f t="shared" si="11"/>
        <v>0</v>
      </c>
      <c r="D60" s="136">
        <f>(Inputs!$B$6*Inputs!$G$9)*D33</f>
        <v>0</v>
      </c>
      <c r="E60" s="136">
        <f>(Inputs!$B$6*Inputs!$G$9)*E33</f>
        <v>0</v>
      </c>
      <c r="F60" s="136">
        <f>(Inputs!$B$6*Inputs!$G$9)*F33</f>
        <v>0</v>
      </c>
      <c r="G60" s="136">
        <f>(Inputs!$B$6*Inputs!$G$9)*G33</f>
        <v>0</v>
      </c>
      <c r="H60" s="136">
        <f>(Inputs!$B$6*Inputs!$G$9)*H33</f>
        <v>0</v>
      </c>
      <c r="I60" s="136">
        <f>(Inputs!$B$6*Inputs!$G$9)*I33</f>
        <v>0</v>
      </c>
      <c r="J60" s="136">
        <f>(Inputs!$B$6*Inputs!$G$9)*J33</f>
        <v>0</v>
      </c>
      <c r="K60" s="136">
        <f>(Inputs!$B$6*Inputs!$G$9)*K33</f>
        <v>0</v>
      </c>
      <c r="L60" s="136">
        <f>(Inputs!$B$6*Inputs!$G$9)*L33</f>
        <v>0</v>
      </c>
      <c r="M60" s="136">
        <f>(Inputs!$B$6*Inputs!$G$9)*M33</f>
        <v>0</v>
      </c>
      <c r="N60" s="136">
        <f>(Inputs!$B$6*Inputs!$G$9)*N33</f>
        <v>0</v>
      </c>
      <c r="O60" s="136">
        <f>(Inputs!$B$6*Inputs!$G$9)*O33</f>
        <v>0</v>
      </c>
      <c r="P60" s="136">
        <f>(Inputs!$B$6*Inputs!$G$9)*P33</f>
        <v>0</v>
      </c>
      <c r="Q60" s="151">
        <f>(Inputs!$B$6*Inputs!$G$9)*Q33</f>
        <v>0</v>
      </c>
    </row>
    <row r="61" spans="2:17" ht="15.75" customHeight="1" x14ac:dyDescent="0.25">
      <c r="B61" s="146" t="s">
        <v>71</v>
      </c>
      <c r="C61" s="142">
        <f t="shared" si="11"/>
        <v>0</v>
      </c>
      <c r="D61" s="136">
        <f>(Inputs!$B$6*Inputs!$G$10)*D33</f>
        <v>0</v>
      </c>
      <c r="E61" s="136">
        <f>(Inputs!$B$6*Inputs!$G$10)*E33</f>
        <v>0</v>
      </c>
      <c r="F61" s="136">
        <f>(Inputs!$B$6*Inputs!$G$10)*F33</f>
        <v>0</v>
      </c>
      <c r="G61" s="136">
        <f>(Inputs!$B$6*Inputs!$G$10)*G33</f>
        <v>0</v>
      </c>
      <c r="H61" s="136">
        <f>(Inputs!$B$6*Inputs!$G$10)*H33</f>
        <v>0</v>
      </c>
      <c r="I61" s="136">
        <f>(Inputs!$B$6*Inputs!$G$10)*I33</f>
        <v>0</v>
      </c>
      <c r="J61" s="136">
        <f>(Inputs!$B$6*Inputs!$G$10)*J33</f>
        <v>0</v>
      </c>
      <c r="K61" s="136">
        <f>(Inputs!$B$6*Inputs!$G$10)*K33</f>
        <v>0</v>
      </c>
      <c r="L61" s="136">
        <f>(Inputs!$B$6*Inputs!$G$10)*L33</f>
        <v>0</v>
      </c>
      <c r="M61" s="136">
        <f>(Inputs!$B$6*Inputs!$G$10)*M33</f>
        <v>0</v>
      </c>
      <c r="N61" s="136">
        <f>(Inputs!$B$6*Inputs!$G$10)*N33</f>
        <v>0</v>
      </c>
      <c r="O61" s="136">
        <f>(Inputs!$B$6*Inputs!$G$10)*O33</f>
        <v>0</v>
      </c>
      <c r="P61" s="136">
        <f>(Inputs!$B$6*Inputs!$G$10)*P33</f>
        <v>0</v>
      </c>
      <c r="Q61" s="151">
        <f>(Inputs!$B$6*Inputs!$G$10)*Q33</f>
        <v>0</v>
      </c>
    </row>
    <row r="62" spans="2:17" ht="15.75" customHeight="1" x14ac:dyDescent="0.25">
      <c r="B62" s="146" t="str">
        <f>Inputs!F11</f>
        <v>Other costs</v>
      </c>
      <c r="C62" s="142">
        <f t="shared" si="11"/>
        <v>0</v>
      </c>
      <c r="D62" s="136">
        <f>(Inputs!$B$6*Inputs!$G$11)*'Future Season Forecast'!D33</f>
        <v>0</v>
      </c>
      <c r="E62" s="136">
        <f>(Inputs!$B$6*Inputs!$G$11)*'Future Season Forecast'!E33</f>
        <v>0</v>
      </c>
      <c r="F62" s="136">
        <f>(Inputs!$B$6*Inputs!$G$11)*'Future Season Forecast'!F33</f>
        <v>0</v>
      </c>
      <c r="G62" s="136">
        <f>(Inputs!$B$6*Inputs!$G$11)*'Future Season Forecast'!G33</f>
        <v>0</v>
      </c>
      <c r="H62" s="136">
        <f>(Inputs!$B$6*Inputs!$G$11)*'Future Season Forecast'!H33</f>
        <v>0</v>
      </c>
      <c r="I62" s="136">
        <f>(Inputs!$B$6*Inputs!$G$11)*'Future Season Forecast'!I33</f>
        <v>0</v>
      </c>
      <c r="J62" s="136">
        <f>(Inputs!$B$6*Inputs!$G$11)*'Future Season Forecast'!J33</f>
        <v>0</v>
      </c>
      <c r="K62" s="136">
        <f>(Inputs!$B$6*Inputs!$G$11)*'Future Season Forecast'!K33</f>
        <v>0</v>
      </c>
      <c r="L62" s="136">
        <f>(Inputs!$B$6*Inputs!$G$11)*'Future Season Forecast'!L33</f>
        <v>0</v>
      </c>
      <c r="M62" s="136">
        <f>(Inputs!$B$6*Inputs!$G$11)*'Future Season Forecast'!M33</f>
        <v>0</v>
      </c>
      <c r="N62" s="136">
        <f>(Inputs!$B$6*Inputs!$G$11)*'Future Season Forecast'!N33</f>
        <v>0</v>
      </c>
      <c r="O62" s="136">
        <f>(Inputs!$B$6*Inputs!$G$11)*'Future Season Forecast'!O33</f>
        <v>0</v>
      </c>
      <c r="P62" s="136">
        <f>(Inputs!$B$6*Inputs!$G$11)*'Future Season Forecast'!P33</f>
        <v>0</v>
      </c>
      <c r="Q62" s="151">
        <f>(Inputs!$B$6*Inputs!$G$11)*'Future Season Forecast'!Q33</f>
        <v>0</v>
      </c>
    </row>
    <row r="63" spans="2:17" ht="15.75" customHeight="1" x14ac:dyDescent="0.25">
      <c r="B63" s="146" t="s">
        <v>73</v>
      </c>
      <c r="C63" s="142">
        <f>SUM(C58:C61)</f>
        <v>0</v>
      </c>
      <c r="D63" s="136">
        <f>SUM(D58:D61)</f>
        <v>0</v>
      </c>
      <c r="E63" s="136">
        <f t="shared" ref="E63:Q63" si="12">SUM(E58:E61)</f>
        <v>0</v>
      </c>
      <c r="F63" s="136">
        <f t="shared" si="12"/>
        <v>0</v>
      </c>
      <c r="G63" s="136">
        <f t="shared" si="12"/>
        <v>0</v>
      </c>
      <c r="H63" s="136">
        <f t="shared" si="12"/>
        <v>0</v>
      </c>
      <c r="I63" s="136">
        <f t="shared" si="12"/>
        <v>0</v>
      </c>
      <c r="J63" s="136">
        <f t="shared" si="12"/>
        <v>0</v>
      </c>
      <c r="K63" s="136">
        <f t="shared" si="12"/>
        <v>0</v>
      </c>
      <c r="L63" s="136">
        <f t="shared" si="12"/>
        <v>0</v>
      </c>
      <c r="M63" s="136">
        <f t="shared" si="12"/>
        <v>0</v>
      </c>
      <c r="N63" s="136">
        <f t="shared" si="12"/>
        <v>0</v>
      </c>
      <c r="O63" s="136">
        <f t="shared" si="12"/>
        <v>0</v>
      </c>
      <c r="P63" s="136">
        <f t="shared" si="12"/>
        <v>0</v>
      </c>
      <c r="Q63" s="151">
        <f t="shared" si="12"/>
        <v>0</v>
      </c>
    </row>
    <row r="64" spans="2:17" ht="9" customHeight="1" x14ac:dyDescent="0.25">
      <c r="B64" s="146"/>
      <c r="C64" s="142"/>
      <c r="D64" s="136"/>
      <c r="E64" s="136"/>
      <c r="F64" s="136"/>
      <c r="G64" s="136"/>
      <c r="H64" s="136"/>
      <c r="I64" s="136"/>
      <c r="J64" s="136"/>
      <c r="K64" s="136"/>
      <c r="L64" s="136"/>
      <c r="M64" s="136"/>
      <c r="N64" s="136"/>
      <c r="O64" s="136"/>
      <c r="P64" s="136"/>
      <c r="Q64" s="151"/>
    </row>
    <row r="65" spans="2:18" ht="33.75" customHeight="1" x14ac:dyDescent="0.25">
      <c r="B65" s="83"/>
      <c r="C65" s="162" t="s">
        <v>50</v>
      </c>
      <c r="D65" s="163">
        <f>D32</f>
        <v>45078</v>
      </c>
      <c r="E65" s="163">
        <f t="shared" ref="E65:Q65" si="13">E32</f>
        <v>45108</v>
      </c>
      <c r="F65" s="163">
        <f t="shared" si="13"/>
        <v>45139</v>
      </c>
      <c r="G65" s="163">
        <f t="shared" si="13"/>
        <v>45170</v>
      </c>
      <c r="H65" s="163">
        <f t="shared" si="13"/>
        <v>45200</v>
      </c>
      <c r="I65" s="163">
        <f t="shared" si="13"/>
        <v>45231</v>
      </c>
      <c r="J65" s="163">
        <f t="shared" si="13"/>
        <v>45261</v>
      </c>
      <c r="K65" s="163">
        <f t="shared" si="13"/>
        <v>45292</v>
      </c>
      <c r="L65" s="163">
        <f t="shared" si="13"/>
        <v>45323</v>
      </c>
      <c r="M65" s="163">
        <f t="shared" si="13"/>
        <v>45352</v>
      </c>
      <c r="N65" s="163">
        <f t="shared" si="13"/>
        <v>45383</v>
      </c>
      <c r="O65" s="163">
        <f t="shared" si="13"/>
        <v>45413</v>
      </c>
      <c r="P65" s="163">
        <f t="shared" si="13"/>
        <v>45444</v>
      </c>
      <c r="Q65" s="170">
        <f t="shared" si="13"/>
        <v>45474</v>
      </c>
    </row>
    <row r="66" spans="2:18" s="92" customFormat="1" ht="31" customHeight="1" x14ac:dyDescent="0.25">
      <c r="B66" s="122" t="s">
        <v>54</v>
      </c>
      <c r="C66" s="95">
        <f>C54</f>
        <v>0</v>
      </c>
      <c r="D66" s="95">
        <f>IF($C$22="yes",0,D52-D55)</f>
        <v>0</v>
      </c>
      <c r="E66" s="95">
        <f>IF($C$22="yes",D52+E52-D55-E55,E52-E55)</f>
        <v>0</v>
      </c>
      <c r="F66" s="95">
        <f t="shared" ref="F66:H66" si="14">F52-F55</f>
        <v>0</v>
      </c>
      <c r="G66" s="95">
        <f t="shared" si="14"/>
        <v>0</v>
      </c>
      <c r="H66" s="95">
        <f t="shared" si="14"/>
        <v>0</v>
      </c>
      <c r="I66" s="95">
        <f t="shared" ref="I66:Q66" si="15">I52-I55</f>
        <v>0</v>
      </c>
      <c r="J66" s="95">
        <f t="shared" si="15"/>
        <v>0</v>
      </c>
      <c r="K66" s="95">
        <f t="shared" si="15"/>
        <v>0</v>
      </c>
      <c r="L66" s="95">
        <f t="shared" si="15"/>
        <v>0</v>
      </c>
      <c r="M66" s="95">
        <f t="shared" si="15"/>
        <v>0</v>
      </c>
      <c r="N66" s="95">
        <f t="shared" si="15"/>
        <v>0</v>
      </c>
      <c r="O66" s="95">
        <f t="shared" si="15"/>
        <v>0</v>
      </c>
      <c r="P66" s="95">
        <f t="shared" si="15"/>
        <v>0</v>
      </c>
      <c r="Q66" s="156">
        <f t="shared" si="15"/>
        <v>0</v>
      </c>
      <c r="R66" s="30"/>
    </row>
    <row r="67" spans="2:18" s="92" customFormat="1" ht="31" customHeight="1" x14ac:dyDescent="0.25">
      <c r="B67" s="122" t="s">
        <v>82</v>
      </c>
      <c r="C67" s="95"/>
      <c r="D67" s="95">
        <f>D66-D63</f>
        <v>0</v>
      </c>
      <c r="E67" s="95">
        <f t="shared" ref="E67:Q67" si="16">E66-E63</f>
        <v>0</v>
      </c>
      <c r="F67" s="95">
        <f t="shared" si="16"/>
        <v>0</v>
      </c>
      <c r="G67" s="95">
        <f t="shared" si="16"/>
        <v>0</v>
      </c>
      <c r="H67" s="95">
        <f t="shared" si="16"/>
        <v>0</v>
      </c>
      <c r="I67" s="95">
        <f t="shared" si="16"/>
        <v>0</v>
      </c>
      <c r="J67" s="95">
        <f t="shared" si="16"/>
        <v>0</v>
      </c>
      <c r="K67" s="95">
        <f t="shared" si="16"/>
        <v>0</v>
      </c>
      <c r="L67" s="95">
        <f t="shared" si="16"/>
        <v>0</v>
      </c>
      <c r="M67" s="95">
        <f t="shared" si="16"/>
        <v>0</v>
      </c>
      <c r="N67" s="95">
        <f t="shared" si="16"/>
        <v>0</v>
      </c>
      <c r="O67" s="95">
        <f t="shared" si="16"/>
        <v>0</v>
      </c>
      <c r="P67" s="95">
        <f t="shared" si="16"/>
        <v>0</v>
      </c>
      <c r="Q67" s="156">
        <f t="shared" si="16"/>
        <v>0</v>
      </c>
      <c r="R67" s="30"/>
    </row>
    <row r="68" spans="2:18" ht="31" customHeight="1" x14ac:dyDescent="0.25">
      <c r="B68" s="123" t="s">
        <v>68</v>
      </c>
      <c r="C68" s="115">
        <f>C66</f>
        <v>0</v>
      </c>
      <c r="D68" s="115">
        <f>C68+D66</f>
        <v>0</v>
      </c>
      <c r="E68" s="115">
        <f>D68+E66</f>
        <v>0</v>
      </c>
      <c r="F68" s="115">
        <f t="shared" ref="F68:Q68" si="17">E68+F66</f>
        <v>0</v>
      </c>
      <c r="G68" s="115">
        <f t="shared" si="17"/>
        <v>0</v>
      </c>
      <c r="H68" s="115">
        <f t="shared" si="17"/>
        <v>0</v>
      </c>
      <c r="I68" s="115">
        <f t="shared" si="17"/>
        <v>0</v>
      </c>
      <c r="J68" s="115">
        <f t="shared" si="17"/>
        <v>0</v>
      </c>
      <c r="K68" s="115">
        <f t="shared" si="17"/>
        <v>0</v>
      </c>
      <c r="L68" s="115">
        <f t="shared" si="17"/>
        <v>0</v>
      </c>
      <c r="M68" s="115">
        <f t="shared" si="17"/>
        <v>0</v>
      </c>
      <c r="N68" s="115">
        <f t="shared" si="17"/>
        <v>0</v>
      </c>
      <c r="O68" s="115">
        <f t="shared" si="17"/>
        <v>0</v>
      </c>
      <c r="P68" s="115">
        <f t="shared" si="17"/>
        <v>0</v>
      </c>
      <c r="Q68" s="157">
        <f t="shared" si="17"/>
        <v>0</v>
      </c>
    </row>
    <row r="69" spans="2:18" ht="31" customHeight="1" x14ac:dyDescent="0.25">
      <c r="B69" s="158" t="s">
        <v>81</v>
      </c>
      <c r="C69" s="115"/>
      <c r="D69" s="115">
        <f>D67+C69</f>
        <v>0</v>
      </c>
      <c r="E69" s="115">
        <f t="shared" ref="E69:Q69" si="18">E67+D69</f>
        <v>0</v>
      </c>
      <c r="F69" s="115">
        <f t="shared" si="18"/>
        <v>0</v>
      </c>
      <c r="G69" s="115">
        <f t="shared" si="18"/>
        <v>0</v>
      </c>
      <c r="H69" s="115">
        <f t="shared" si="18"/>
        <v>0</v>
      </c>
      <c r="I69" s="115">
        <f t="shared" si="18"/>
        <v>0</v>
      </c>
      <c r="J69" s="115">
        <f t="shared" si="18"/>
        <v>0</v>
      </c>
      <c r="K69" s="115">
        <f t="shared" si="18"/>
        <v>0</v>
      </c>
      <c r="L69" s="115">
        <f t="shared" si="18"/>
        <v>0</v>
      </c>
      <c r="M69" s="115">
        <f t="shared" si="18"/>
        <v>0</v>
      </c>
      <c r="N69" s="115">
        <f t="shared" si="18"/>
        <v>0</v>
      </c>
      <c r="O69" s="115">
        <f t="shared" si="18"/>
        <v>0</v>
      </c>
      <c r="P69" s="115">
        <f t="shared" si="18"/>
        <v>0</v>
      </c>
      <c r="Q69" s="157">
        <f t="shared" si="18"/>
        <v>0</v>
      </c>
    </row>
    <row r="70" spans="2:18" x14ac:dyDescent="0.25">
      <c r="B70" s="60"/>
      <c r="C70" s="40"/>
      <c r="D70" s="40"/>
      <c r="E70" s="40"/>
      <c r="F70" s="40"/>
      <c r="G70" s="40"/>
      <c r="H70" s="40"/>
      <c r="I70" s="40"/>
      <c r="J70" s="40"/>
      <c r="K70" s="40"/>
      <c r="L70" s="40"/>
      <c r="M70" s="40"/>
      <c r="N70" s="40"/>
      <c r="O70" s="40"/>
      <c r="P70" s="40"/>
      <c r="Q70" s="41"/>
    </row>
    <row r="71" spans="2:18" s="2" customFormat="1" ht="13" x14ac:dyDescent="0.25">
      <c r="B71" s="22" t="s">
        <v>55</v>
      </c>
      <c r="C71" s="23"/>
      <c r="D71" s="23"/>
      <c r="E71" s="23"/>
      <c r="F71" s="23"/>
      <c r="G71" s="23"/>
      <c r="H71" s="23"/>
      <c r="I71" s="23"/>
      <c r="J71" s="23"/>
      <c r="K71" s="23"/>
      <c r="L71" s="23"/>
      <c r="M71" s="23"/>
      <c r="N71" s="23"/>
      <c r="O71" s="23"/>
      <c r="P71" s="23"/>
      <c r="Q71" s="24"/>
    </row>
    <row r="72" spans="2:18" s="2" customFormat="1" ht="13" x14ac:dyDescent="0.25">
      <c r="B72" s="182" t="s">
        <v>56</v>
      </c>
      <c r="C72" s="183"/>
      <c r="D72" s="183"/>
      <c r="E72" s="183"/>
      <c r="F72" s="183"/>
      <c r="G72" s="183"/>
      <c r="H72" s="183"/>
      <c r="I72" s="183"/>
      <c r="J72" s="183"/>
      <c r="K72" s="183"/>
      <c r="L72" s="183"/>
      <c r="M72" s="183"/>
      <c r="N72" s="183"/>
      <c r="O72" s="23"/>
      <c r="P72" s="23"/>
      <c r="Q72" s="24"/>
    </row>
    <row r="73" spans="2:18" s="2" customFormat="1" ht="13" x14ac:dyDescent="0.25">
      <c r="B73" s="182"/>
      <c r="C73" s="183"/>
      <c r="D73" s="183"/>
      <c r="E73" s="183"/>
      <c r="F73" s="183"/>
      <c r="G73" s="183"/>
      <c r="H73" s="183"/>
      <c r="I73" s="183"/>
      <c r="J73" s="183"/>
      <c r="K73" s="183"/>
      <c r="L73" s="183"/>
      <c r="M73" s="183"/>
      <c r="N73" s="183"/>
      <c r="O73" s="23"/>
      <c r="P73" s="23"/>
      <c r="Q73" s="24"/>
    </row>
    <row r="74" spans="2:18" s="2" customFormat="1" ht="15" customHeight="1" x14ac:dyDescent="0.25">
      <c r="B74" s="182" t="s">
        <v>57</v>
      </c>
      <c r="C74" s="183"/>
      <c r="D74" s="183"/>
      <c r="E74" s="183"/>
      <c r="F74" s="183"/>
      <c r="G74" s="183"/>
      <c r="H74" s="183"/>
      <c r="I74" s="183"/>
      <c r="J74" s="183"/>
      <c r="K74" s="183"/>
      <c r="L74" s="183"/>
      <c r="M74" s="183"/>
      <c r="N74" s="183"/>
      <c r="O74" s="23"/>
      <c r="P74" s="23"/>
      <c r="Q74" s="24"/>
    </row>
    <row r="75" spans="2:18" s="2" customFormat="1" ht="13" x14ac:dyDescent="0.25">
      <c r="B75" s="182"/>
      <c r="C75" s="183"/>
      <c r="D75" s="183"/>
      <c r="E75" s="183"/>
      <c r="F75" s="183"/>
      <c r="G75" s="183"/>
      <c r="H75" s="183"/>
      <c r="I75" s="183"/>
      <c r="J75" s="183"/>
      <c r="K75" s="183"/>
      <c r="L75" s="183"/>
      <c r="M75" s="183"/>
      <c r="N75" s="183"/>
      <c r="O75" s="23"/>
      <c r="P75" s="23"/>
      <c r="Q75" s="24"/>
    </row>
    <row r="76" spans="2:18" s="2" customFormat="1" ht="13" x14ac:dyDescent="0.25">
      <c r="B76" s="22" t="s">
        <v>58</v>
      </c>
      <c r="C76" s="23"/>
      <c r="D76" s="23"/>
      <c r="E76" s="23"/>
      <c r="F76" s="23"/>
      <c r="G76" s="23"/>
      <c r="H76" s="23"/>
      <c r="I76" s="23"/>
      <c r="J76" s="23"/>
      <c r="K76" s="23"/>
      <c r="L76" s="23"/>
      <c r="M76" s="23"/>
      <c r="N76" s="23"/>
      <c r="O76" s="23"/>
      <c r="P76" s="23"/>
      <c r="Q76" s="24"/>
    </row>
    <row r="77" spans="2:18" s="2" customFormat="1" ht="15" customHeight="1" x14ac:dyDescent="0.25">
      <c r="B77" s="182" t="s">
        <v>59</v>
      </c>
      <c r="C77" s="183"/>
      <c r="D77" s="183"/>
      <c r="E77" s="183"/>
      <c r="F77" s="183"/>
      <c r="G77" s="183"/>
      <c r="H77" s="183"/>
      <c r="I77" s="183"/>
      <c r="J77" s="183"/>
      <c r="K77" s="183"/>
      <c r="L77" s="183"/>
      <c r="M77" s="183"/>
      <c r="N77" s="23"/>
      <c r="O77" s="23"/>
      <c r="P77" s="23"/>
      <c r="Q77" s="24"/>
    </row>
    <row r="78" spans="2:18" s="2" customFormat="1" ht="13" x14ac:dyDescent="0.25">
      <c r="B78" s="182"/>
      <c r="C78" s="183"/>
      <c r="D78" s="183"/>
      <c r="E78" s="183"/>
      <c r="F78" s="183"/>
      <c r="G78" s="183"/>
      <c r="H78" s="183"/>
      <c r="I78" s="183"/>
      <c r="J78" s="183"/>
      <c r="K78" s="183"/>
      <c r="L78" s="183"/>
      <c r="M78" s="183"/>
      <c r="N78" s="23"/>
      <c r="O78" s="23"/>
      <c r="P78" s="23"/>
      <c r="Q78" s="24"/>
    </row>
    <row r="79" spans="2:18" s="2" customFormat="1" ht="13" x14ac:dyDescent="0.25">
      <c r="B79" s="182"/>
      <c r="C79" s="183"/>
      <c r="D79" s="183"/>
      <c r="E79" s="183"/>
      <c r="F79" s="183"/>
      <c r="G79" s="183"/>
      <c r="H79" s="183"/>
      <c r="I79" s="183"/>
      <c r="J79" s="183"/>
      <c r="K79" s="183"/>
      <c r="L79" s="183"/>
      <c r="M79" s="183"/>
      <c r="N79" s="23"/>
      <c r="O79" s="23"/>
      <c r="P79" s="23"/>
      <c r="Q79" s="24"/>
    </row>
    <row r="80" spans="2:18" s="2" customFormat="1" ht="13" x14ac:dyDescent="0.25">
      <c r="B80" s="22" t="s">
        <v>60</v>
      </c>
      <c r="C80" s="23"/>
      <c r="D80" s="23"/>
      <c r="E80" s="23"/>
      <c r="F80" s="23"/>
      <c r="G80" s="23"/>
      <c r="H80" s="23"/>
      <c r="I80" s="23"/>
      <c r="J80" s="23"/>
      <c r="K80" s="23"/>
      <c r="L80" s="23"/>
      <c r="M80" s="23"/>
      <c r="N80" s="23"/>
      <c r="O80" s="23"/>
      <c r="P80" s="23"/>
      <c r="Q80" s="24"/>
    </row>
    <row r="81" spans="2:17" s="2" customFormat="1" ht="13" x14ac:dyDescent="0.25">
      <c r="B81" s="22" t="s">
        <v>61</v>
      </c>
      <c r="C81" s="23"/>
      <c r="D81" s="23"/>
      <c r="E81" s="23"/>
      <c r="F81" s="23"/>
      <c r="G81" s="23"/>
      <c r="H81" s="23"/>
      <c r="I81" s="23"/>
      <c r="J81" s="23"/>
      <c r="K81" s="23"/>
      <c r="L81" s="23"/>
      <c r="M81" s="23"/>
      <c r="N81" s="23"/>
      <c r="O81" s="23"/>
      <c r="P81" s="23"/>
      <c r="Q81" s="24"/>
    </row>
    <row r="82" spans="2:17" s="2" customFormat="1" ht="13" x14ac:dyDescent="0.25">
      <c r="B82" s="22" t="s">
        <v>62</v>
      </c>
      <c r="C82" s="23"/>
      <c r="D82" s="23"/>
      <c r="E82" s="23"/>
      <c r="F82" s="23"/>
      <c r="G82" s="23"/>
      <c r="H82" s="23"/>
      <c r="I82" s="23"/>
      <c r="J82" s="23"/>
      <c r="K82" s="23"/>
      <c r="L82" s="23"/>
      <c r="M82" s="23"/>
      <c r="N82" s="23"/>
      <c r="O82" s="23"/>
      <c r="P82" s="23"/>
      <c r="Q82" s="24"/>
    </row>
    <row r="83" spans="2:17" s="2" customFormat="1" ht="15" customHeight="1" x14ac:dyDescent="0.25">
      <c r="B83" s="182" t="s">
        <v>63</v>
      </c>
      <c r="C83" s="183"/>
      <c r="D83" s="183"/>
      <c r="E83" s="183"/>
      <c r="F83" s="183"/>
      <c r="G83" s="183"/>
      <c r="H83" s="183"/>
      <c r="I83" s="183"/>
      <c r="J83" s="183"/>
      <c r="K83" s="183"/>
      <c r="L83" s="183"/>
      <c r="M83" s="183"/>
      <c r="N83" s="23"/>
      <c r="O83" s="23"/>
      <c r="P83" s="23"/>
      <c r="Q83" s="24"/>
    </row>
    <row r="84" spans="2:17" s="2" customFormat="1" ht="13" x14ac:dyDescent="0.25">
      <c r="B84" s="182"/>
      <c r="C84" s="183"/>
      <c r="D84" s="183"/>
      <c r="E84" s="183"/>
      <c r="F84" s="183"/>
      <c r="G84" s="183"/>
      <c r="H84" s="183"/>
      <c r="I84" s="183"/>
      <c r="J84" s="183"/>
      <c r="K84" s="183"/>
      <c r="L84" s="183"/>
      <c r="M84" s="183"/>
      <c r="N84" s="23"/>
      <c r="O84" s="23"/>
      <c r="P84" s="23"/>
      <c r="Q84" s="24"/>
    </row>
    <row r="85" spans="2:17" s="2" customFormat="1" ht="13" x14ac:dyDescent="0.25">
      <c r="B85" s="22"/>
      <c r="C85" s="23"/>
      <c r="D85" s="23"/>
      <c r="E85" s="23"/>
      <c r="F85" s="23"/>
      <c r="G85" s="23"/>
      <c r="H85" s="23"/>
      <c r="I85" s="23"/>
      <c r="J85" s="23"/>
      <c r="K85" s="23"/>
      <c r="L85" s="23"/>
      <c r="M85" s="23"/>
      <c r="N85" s="23"/>
      <c r="O85" s="23"/>
      <c r="P85" s="23"/>
      <c r="Q85" s="24"/>
    </row>
    <row r="86" spans="2:17" s="2" customFormat="1" ht="13" x14ac:dyDescent="0.25">
      <c r="B86" s="182" t="s">
        <v>90</v>
      </c>
      <c r="C86" s="183"/>
      <c r="D86" s="183"/>
      <c r="E86" s="183"/>
      <c r="F86" s="183"/>
      <c r="G86" s="183"/>
      <c r="H86" s="183"/>
      <c r="I86" s="183"/>
      <c r="J86" s="183"/>
      <c r="K86" s="183"/>
      <c r="L86" s="183"/>
      <c r="M86" s="183"/>
      <c r="N86" s="23"/>
      <c r="O86" s="23"/>
      <c r="P86" s="23"/>
      <c r="Q86" s="24"/>
    </row>
    <row r="87" spans="2:17" s="2" customFormat="1" ht="13.5" thickBot="1" x14ac:dyDescent="0.3">
      <c r="B87" s="184" t="s">
        <v>65</v>
      </c>
      <c r="C87" s="185"/>
      <c r="D87" s="185"/>
      <c r="E87" s="185"/>
      <c r="F87" s="185"/>
      <c r="G87" s="185"/>
      <c r="H87" s="185"/>
      <c r="I87" s="185"/>
      <c r="J87" s="185"/>
      <c r="K87" s="185"/>
      <c r="L87" s="185"/>
      <c r="M87" s="185"/>
      <c r="N87" s="25"/>
      <c r="O87" s="25"/>
      <c r="P87" s="25"/>
      <c r="Q87" s="26"/>
    </row>
    <row r="88" spans="2:17" s="1" customFormat="1" ht="14.5" x14ac:dyDescent="0.25"/>
    <row r="89" spans="2:17" s="1" customFormat="1" x14ac:dyDescent="0.25">
      <c r="B89" s="30"/>
      <c r="C89" s="30"/>
      <c r="D89" s="30"/>
      <c r="E89" s="30"/>
      <c r="F89" s="30"/>
      <c r="G89" s="30"/>
      <c r="H89" s="30"/>
      <c r="I89" s="30"/>
      <c r="J89" s="30"/>
      <c r="K89" s="30"/>
      <c r="L89" s="30"/>
      <c r="M89" s="30"/>
    </row>
    <row r="103" spans="2:13" s="1" customFormat="1" ht="14.5" x14ac:dyDescent="0.25">
      <c r="B103" s="186" t="s">
        <v>64</v>
      </c>
      <c r="C103" s="186"/>
      <c r="D103" s="186"/>
      <c r="E103" s="186"/>
      <c r="F103" s="186"/>
      <c r="G103" s="186"/>
      <c r="H103" s="186"/>
      <c r="I103" s="186"/>
      <c r="J103" s="186"/>
      <c r="K103" s="186"/>
      <c r="L103" s="186"/>
      <c r="M103" s="186"/>
    </row>
    <row r="104" spans="2:13" s="1" customFormat="1" ht="14.5" x14ac:dyDescent="0.25">
      <c r="B104" s="186" t="s">
        <v>65</v>
      </c>
      <c r="C104" s="186"/>
      <c r="D104" s="186"/>
      <c r="E104" s="186"/>
      <c r="F104" s="186"/>
      <c r="G104" s="186"/>
      <c r="H104" s="186"/>
      <c r="I104" s="186"/>
      <c r="J104" s="186"/>
      <c r="K104" s="186"/>
      <c r="L104" s="186"/>
      <c r="M104" s="186"/>
    </row>
    <row r="105" spans="2:13" s="1" customFormat="1" x14ac:dyDescent="0.25">
      <c r="B105" s="30"/>
      <c r="C105" s="30"/>
      <c r="D105" s="30"/>
      <c r="E105" s="30"/>
      <c r="F105" s="30"/>
      <c r="G105" s="30"/>
      <c r="H105" s="30"/>
      <c r="I105" s="30"/>
      <c r="J105" s="30"/>
      <c r="K105" s="30"/>
      <c r="L105" s="30"/>
      <c r="M105" s="30"/>
    </row>
    <row r="106" spans="2:13" s="1" customFormat="1" x14ac:dyDescent="0.25">
      <c r="B106" s="30"/>
      <c r="C106" s="30"/>
      <c r="D106" s="30"/>
      <c r="E106" s="30"/>
      <c r="F106" s="30"/>
      <c r="G106" s="30"/>
      <c r="H106" s="30"/>
      <c r="I106" s="30"/>
      <c r="J106" s="30"/>
      <c r="K106" s="30"/>
      <c r="L106" s="30"/>
      <c r="M106" s="30"/>
    </row>
  </sheetData>
  <sheetProtection algorithmName="SHA-512" hashValue="XN1xZp1u9JzQcfD210HmS4T1gIbR+QtF01nRJPTnRgIg/sTXt7FRQHk8csVoSfNISfouDvmV0oRr0e8gGb9Ijw==" saltValue="+x1J87hLxTajZciRBZjmpg==" spinCount="100000" sheet="1" selectLockedCells="1"/>
  <mergeCells count="8">
    <mergeCell ref="B86:M86"/>
    <mergeCell ref="B87:M87"/>
    <mergeCell ref="B103:M103"/>
    <mergeCell ref="B104:M104"/>
    <mergeCell ref="B72:N73"/>
    <mergeCell ref="B74:N75"/>
    <mergeCell ref="B77:M79"/>
    <mergeCell ref="B83:M84"/>
  </mergeCells>
  <conditionalFormatting sqref="I8:J14">
    <cfRule type="expression" dxfId="1" priority="2">
      <formula>H8=0</formula>
    </cfRule>
  </conditionalFormatting>
  <conditionalFormatting sqref="L8:L14">
    <cfRule type="expression" dxfId="0" priority="1">
      <formula>K8=0</formula>
    </cfRule>
  </conditionalFormatting>
  <dataValidations count="5">
    <dataValidation type="list" allowBlank="1" showInputMessage="1" showErrorMessage="1" sqref="B8:B14" xr:uid="{00000000-0002-0000-0100-000000000000}">
      <formula1>$S$9:$S$11</formula1>
    </dataValidation>
    <dataValidation type="list" allowBlank="1" showInputMessage="1" showErrorMessage="1" sqref="C26" xr:uid="{00000000-0002-0000-0100-000001000000}">
      <formula1>$T$8:$T$18</formula1>
    </dataValidation>
    <dataValidation type="list" allowBlank="1" showInputMessage="1" showErrorMessage="1" sqref="C22" xr:uid="{00000000-0002-0000-0100-000002000000}">
      <formula1>$S$9:$S$10</formula1>
    </dataValidation>
    <dataValidation type="list" allowBlank="1" showInputMessage="1" showErrorMessage="1" sqref="C27" xr:uid="{00000000-0002-0000-0100-000003000000}">
      <formula1>$V$8:$V$9</formula1>
    </dataValidation>
    <dataValidation type="list" allowBlank="1" showInputMessage="1" showErrorMessage="1" sqref="C28" xr:uid="{00000000-0002-0000-0100-000004000000}">
      <formula1>$Z$9:$Z$14</formula1>
    </dataValidation>
  </dataValidations>
  <pageMargins left="0.15748031496062992" right="0.15748031496062992" top="0.55118110236220474" bottom="0.55118110236220474" header="0.11811023622047245" footer="0.11811023622047245"/>
  <pageSetup paperSize="9" scale="4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DA1E62A507718409E11516B2F01DAD2" ma:contentTypeVersion="14" ma:contentTypeDescription="Create a new document." ma:contentTypeScope="" ma:versionID="9b9a4b09ec32ff85781872ca801a2a61">
  <xsd:schema xmlns:xsd="http://www.w3.org/2001/XMLSchema" xmlns:xs="http://www.w3.org/2001/XMLSchema" xmlns:p="http://schemas.microsoft.com/office/2006/metadata/properties" xmlns:ns3="ed3077df-c155-4be1-a5dd-641036acd7e1" xmlns:ns4="58ebbd86-16a4-4eec-8fc1-431326ec68f9" targetNamespace="http://schemas.microsoft.com/office/2006/metadata/properties" ma:root="true" ma:fieldsID="74446eb51c119873adb0222be406009d" ns3:_="" ns4:_="">
    <xsd:import namespace="ed3077df-c155-4be1-a5dd-641036acd7e1"/>
    <xsd:import namespace="58ebbd86-16a4-4eec-8fc1-431326ec68f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EventHashCode" minOccurs="0"/>
                <xsd:element ref="ns3:MediaServiceGenerationTim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077df-c155-4be1-a5dd-641036acd7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8ebbd86-16a4-4eec-8fc1-431326ec68f9"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E38AFF-F226-4B24-84BB-ACCF3B417DAB}">
  <ds:schemaRef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58ebbd86-16a4-4eec-8fc1-431326ec68f9"/>
    <ds:schemaRef ds:uri="http://purl.org/dc/terms/"/>
    <ds:schemaRef ds:uri="ed3077df-c155-4be1-a5dd-641036acd7e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20ADE7AD-0C18-49DE-9F39-C1D740668C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077df-c155-4be1-a5dd-641036acd7e1"/>
    <ds:schemaRef ds:uri="58ebbd86-16a4-4eec-8fc1-431326ec68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40C79C-E87F-4D09-BE42-E7FEC3D96A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Inputs</vt:lpstr>
      <vt:lpstr>Future Season Forecast</vt:lpstr>
      <vt:lpstr>Prepayment</vt:lpstr>
      <vt:lpstr>'Future Season Forecast'!Print_Area</vt:lpstr>
      <vt:lpstr>Repayment_Rate</vt:lpstr>
    </vt:vector>
  </TitlesOfParts>
  <Company>Sucrogen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McCarthy, Tami</dc:creator>
  <cp:lastModifiedBy>Hood, Simon</cp:lastModifiedBy>
  <cp:lastPrinted>2023-09-16T23:49:48Z</cp:lastPrinted>
  <dcterms:created xsi:type="dcterms:W3CDTF">2016-03-09T06:38:53Z</dcterms:created>
  <dcterms:modified xsi:type="dcterms:W3CDTF">2023-10-20T04:55:09Z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0x0101007DA1E62A507718409E11516B2F01DAD2</vt:lpwstr>
  </property>
</Properties>
</file>